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8.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11.xml" ContentType="application/vnd.openxmlformats-officedocument.drawing+xml"/>
  <Override PartName="/xl/ctrlProps/ctrlProp50.xml" ContentType="application/vnd.ms-excel.controlproperties+xml"/>
  <Override PartName="/xl/ctrlProps/ctrlProp51.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915" tabRatio="837" activeTab="4"/>
  </bookViews>
  <sheets>
    <sheet name="Линейка Dallas Lock" sheetId="18" r:id="rId1"/>
    <sheet name="СЗИ ВИ Dallas Lock" sheetId="28" r:id="rId2"/>
    <sheet name="СДЗ Dallas Lock" sheetId="26" r:id="rId3"/>
    <sheet name="Dallas Lock Linux" sheetId="35" r:id="rId4"/>
    <sheet name="Пакетное предложение для ОС" sheetId="37" r:id="rId5"/>
    <sheet name="Dallas Lock 8.0-К" sheetId="19" r:id="rId6"/>
    <sheet name="Dallas Lock 8.0-С" sheetId="27" r:id="rId7"/>
    <sheet name="ЕЦУ Dallas Lock" sheetId="30" r:id="rId8"/>
    <sheet name="WAF Dallas Lock" sheetId="33" r:id="rId9"/>
    <sheet name="Архивные продукты" sheetId="23" r:id="rId10"/>
    <sheet name="Сервер Лицензий Dallas Lock" sheetId="24" state="hidden" r:id="rId11"/>
    <sheet name="Услуги по установке..." sheetId="25" r:id="rId12"/>
    <sheet name="Описание продуктов" sheetId="38" r:id="rId13"/>
  </sheets>
  <externalReferences>
    <externalReference r:id="rId14"/>
  </externalReferences>
  <definedNames>
    <definedName name="Товар">[1]items!$A$2:$A$29</definedName>
  </definedNames>
  <calcPr calcId="152511"/>
</workbook>
</file>

<file path=xl/calcChain.xml><?xml version="1.0" encoding="utf-8"?>
<calcChain xmlns="http://schemas.openxmlformats.org/spreadsheetml/2006/main">
  <c r="B19" i="30" l="1"/>
  <c r="C31" i="27" l="1"/>
  <c r="I8" i="28" l="1"/>
  <c r="H8" i="28"/>
  <c r="G8" i="28"/>
  <c r="F8" i="28"/>
  <c r="J8" i="28"/>
  <c r="E8" i="28"/>
  <c r="D8" i="28"/>
  <c r="B11" i="37" l="1"/>
  <c r="B9" i="28" l="1"/>
  <c r="B8" i="28"/>
  <c r="B10" i="37" l="1"/>
  <c r="B15" i="37" l="1"/>
  <c r="P14" i="37"/>
  <c r="K15" i="37" s="1"/>
  <c r="P9" i="37"/>
  <c r="J11" i="37" l="1"/>
  <c r="I11" i="37"/>
  <c r="G11" i="37"/>
  <c r="J10" i="37"/>
  <c r="I10" i="37"/>
  <c r="E11" i="37"/>
  <c r="H11" i="37"/>
  <c r="D11" i="37"/>
  <c r="F10" i="37"/>
  <c r="D10" i="37"/>
  <c r="H10" i="37"/>
  <c r="G10" i="37"/>
  <c r="F11" i="37"/>
  <c r="E10" i="37"/>
  <c r="H15" i="37"/>
  <c r="I15" i="37"/>
  <c r="D15" i="37"/>
  <c r="L15" i="37"/>
  <c r="E15" i="37"/>
  <c r="F15" i="37"/>
  <c r="J15" i="37"/>
  <c r="G15" i="37"/>
  <c r="R14" i="35" l="1"/>
  <c r="R13" i="35"/>
  <c r="R10" i="35" l="1"/>
  <c r="R9" i="35"/>
  <c r="R11" i="35" l="1"/>
  <c r="S11" i="35" s="1"/>
  <c r="C11" i="35" s="1"/>
  <c r="B12" i="33" l="1"/>
  <c r="B11" i="33"/>
  <c r="B10" i="33"/>
  <c r="B9" i="33"/>
  <c r="B8" i="33"/>
  <c r="B8" i="35" l="1"/>
  <c r="B10" i="35"/>
  <c r="Q9" i="35" l="1"/>
  <c r="Q10" i="35"/>
  <c r="P7" i="35" l="1"/>
  <c r="E14" i="35" l="1"/>
  <c r="D10" i="35"/>
  <c r="E9" i="35"/>
  <c r="F9" i="35"/>
  <c r="G9" i="35"/>
  <c r="H9" i="35"/>
  <c r="I9" i="35"/>
  <c r="D9" i="35"/>
  <c r="I14" i="35"/>
  <c r="J14" i="35"/>
  <c r="H14" i="35"/>
  <c r="D14" i="35"/>
  <c r="G14" i="35"/>
  <c r="F14" i="35"/>
  <c r="I13" i="35"/>
  <c r="E13" i="35"/>
  <c r="F13" i="35"/>
  <c r="H13" i="35"/>
  <c r="D13" i="35"/>
  <c r="G13" i="35"/>
  <c r="J13" i="35"/>
  <c r="I12" i="35"/>
  <c r="E12" i="35"/>
  <c r="F12" i="35"/>
  <c r="H12" i="35"/>
  <c r="D12" i="35"/>
  <c r="G12" i="35"/>
  <c r="J12" i="35"/>
  <c r="H10" i="35"/>
  <c r="G10" i="35"/>
  <c r="J10" i="35"/>
  <c r="F10" i="35"/>
  <c r="F11" i="35" s="1"/>
  <c r="I10" i="35"/>
  <c r="E10" i="35"/>
  <c r="H8" i="35"/>
  <c r="D8" i="35"/>
  <c r="G8" i="35"/>
  <c r="J8" i="35"/>
  <c r="F8" i="35"/>
  <c r="I8" i="35"/>
  <c r="E8" i="35"/>
  <c r="J9" i="35"/>
  <c r="P9" i="35"/>
  <c r="T9" i="35" s="1"/>
  <c r="Q14" i="35"/>
  <c r="B14" i="35"/>
  <c r="I11" i="35" l="1"/>
  <c r="H11" i="35"/>
  <c r="J11" i="35"/>
  <c r="E11" i="35"/>
  <c r="G11" i="35"/>
  <c r="D11" i="35"/>
  <c r="P10" i="35"/>
  <c r="T10" i="35" s="1"/>
  <c r="P13" i="35"/>
  <c r="S13" i="35" s="1"/>
  <c r="P14" i="35"/>
  <c r="B9" i="35" l="1"/>
  <c r="B13" i="35"/>
  <c r="B12" i="35"/>
  <c r="S14" i="35"/>
  <c r="D15" i="35" s="1"/>
  <c r="B23" i="35"/>
  <c r="P22" i="35"/>
  <c r="L23" i="35" s="1"/>
  <c r="I15" i="35" l="1"/>
  <c r="H15" i="35"/>
  <c r="G15" i="35"/>
  <c r="J15" i="35"/>
  <c r="F15" i="35"/>
  <c r="E15" i="35"/>
  <c r="R15" i="35"/>
  <c r="Q11" i="35"/>
  <c r="B11" i="35" s="1"/>
  <c r="Q13" i="35"/>
  <c r="Q15" i="35" s="1"/>
  <c r="E23" i="35"/>
  <c r="G23" i="35"/>
  <c r="H23" i="35"/>
  <c r="I23" i="35"/>
  <c r="J23" i="35"/>
  <c r="K23" i="35"/>
  <c r="D23" i="35"/>
  <c r="F23" i="35"/>
  <c r="S15" i="35" l="1"/>
  <c r="C15" i="35" s="1"/>
  <c r="B15" i="35"/>
  <c r="C11" i="33"/>
  <c r="C10" i="33"/>
  <c r="C12" i="33"/>
  <c r="C9" i="33"/>
  <c r="C8" i="33"/>
  <c r="J7" i="33" l="1"/>
  <c r="F10" i="33" s="1"/>
  <c r="L7" i="33"/>
  <c r="K9" i="33"/>
  <c r="J9" i="33"/>
  <c r="E9" i="33" l="1"/>
  <c r="E10" i="33"/>
  <c r="D9" i="33"/>
  <c r="E11" i="33"/>
  <c r="D10" i="33"/>
  <c r="F8" i="33"/>
  <c r="D11" i="33"/>
  <c r="F11" i="33"/>
  <c r="E8" i="33"/>
  <c r="D8" i="33"/>
  <c r="F9" i="33"/>
  <c r="P7" i="26"/>
  <c r="J15" i="26" l="1"/>
  <c r="F15" i="26"/>
  <c r="D11" i="26"/>
  <c r="H15" i="26"/>
  <c r="G11" i="26"/>
  <c r="F11" i="26"/>
  <c r="G15" i="26"/>
  <c r="H11" i="26"/>
  <c r="E11" i="26"/>
  <c r="I11" i="26"/>
  <c r="D15" i="26"/>
  <c r="I15" i="26"/>
  <c r="E15" i="26"/>
  <c r="J11" i="26"/>
  <c r="H14" i="26"/>
  <c r="H13" i="26"/>
  <c r="H10" i="26"/>
  <c r="F10" i="26"/>
  <c r="I9" i="26"/>
  <c r="G14" i="26"/>
  <c r="G13" i="26"/>
  <c r="G10" i="26"/>
  <c r="E14" i="26"/>
  <c r="J9" i="26"/>
  <c r="J14" i="26"/>
  <c r="J13" i="26"/>
  <c r="J10" i="26"/>
  <c r="F14" i="26"/>
  <c r="E13" i="26"/>
  <c r="H9" i="26"/>
  <c r="I14" i="26"/>
  <c r="I13" i="26"/>
  <c r="I10" i="26"/>
  <c r="F13" i="26"/>
  <c r="E10" i="26"/>
  <c r="G9" i="26"/>
  <c r="F9" i="26"/>
  <c r="D13" i="26"/>
  <c r="D10" i="26"/>
  <c r="E9" i="26"/>
  <c r="D9" i="26"/>
  <c r="D14" i="26"/>
  <c r="C32" i="19"/>
  <c r="P67" i="23"/>
  <c r="K72" i="23" s="1"/>
  <c r="C19" i="19"/>
  <c r="C19" i="27"/>
  <c r="C15" i="27"/>
  <c r="C15" i="19"/>
  <c r="C14" i="27"/>
  <c r="C14" i="19"/>
  <c r="C13" i="27"/>
  <c r="C13" i="19"/>
  <c r="C12" i="27"/>
  <c r="C12" i="19"/>
  <c r="C11" i="27"/>
  <c r="C10" i="27"/>
  <c r="C10" i="19"/>
  <c r="C11" i="19"/>
  <c r="B15" i="30"/>
  <c r="B14" i="30"/>
  <c r="B13" i="30"/>
  <c r="B12" i="30"/>
  <c r="B11" i="30"/>
  <c r="B10" i="30"/>
  <c r="B9" i="30"/>
  <c r="B8" i="30"/>
  <c r="B9" i="26"/>
  <c r="B15" i="26"/>
  <c r="B14" i="26"/>
  <c r="B13" i="26"/>
  <c r="B11" i="26"/>
  <c r="B10" i="26"/>
  <c r="B23" i="26"/>
  <c r="B28" i="26"/>
  <c r="I70" i="23" l="1"/>
  <c r="K73" i="23"/>
  <c r="I71" i="23"/>
  <c r="K74" i="23"/>
  <c r="I72" i="23"/>
  <c r="I73" i="23"/>
  <c r="I74" i="23"/>
  <c r="I69" i="23"/>
  <c r="K71" i="23"/>
  <c r="K70" i="23"/>
  <c r="K69" i="23"/>
  <c r="P18" i="30"/>
  <c r="R26" i="27"/>
  <c r="R27" i="19"/>
  <c r="P27" i="26"/>
  <c r="P6" i="28"/>
  <c r="P23" i="26"/>
  <c r="P22" i="26"/>
  <c r="E19" i="30" l="1"/>
  <c r="I19" i="30"/>
  <c r="F19" i="30"/>
  <c r="G19" i="30"/>
  <c r="H19" i="30"/>
  <c r="J19" i="30"/>
  <c r="D19" i="30"/>
  <c r="H31" i="27"/>
  <c r="L31" i="27"/>
  <c r="G31" i="27"/>
  <c r="E31" i="27"/>
  <c r="I31" i="27"/>
  <c r="M31" i="27"/>
  <c r="J31" i="27"/>
  <c r="K31" i="27"/>
  <c r="F31" i="27"/>
  <c r="I23" i="26"/>
  <c r="H23" i="26"/>
  <c r="G23" i="26"/>
  <c r="J23" i="26"/>
  <c r="F23" i="26"/>
  <c r="E23" i="26"/>
  <c r="D23" i="26"/>
  <c r="I9" i="28"/>
  <c r="H9" i="28"/>
  <c r="G9" i="28"/>
  <c r="D9" i="28"/>
  <c r="F9" i="28"/>
  <c r="E9" i="28"/>
  <c r="J9" i="28"/>
  <c r="K32" i="19"/>
  <c r="H32" i="19"/>
  <c r="L32" i="19"/>
  <c r="J32" i="19"/>
  <c r="I32" i="19"/>
  <c r="E32" i="19"/>
  <c r="G32" i="19"/>
  <c r="F32" i="19"/>
  <c r="M32" i="19"/>
  <c r="J28" i="26"/>
  <c r="I28" i="26"/>
  <c r="H28" i="26"/>
  <c r="G28" i="26"/>
  <c r="F28" i="26"/>
  <c r="K28" i="26"/>
  <c r="E28" i="26"/>
  <c r="L28" i="26"/>
  <c r="D28" i="26"/>
  <c r="P9" i="26"/>
  <c r="P7" i="30" l="1"/>
  <c r="D8" i="30" l="1"/>
  <c r="E8" i="30"/>
  <c r="I8" i="30"/>
  <c r="E9" i="30"/>
  <c r="I9" i="30"/>
  <c r="E10" i="30"/>
  <c r="I10" i="30"/>
  <c r="E11" i="30"/>
  <c r="I11" i="30"/>
  <c r="E12" i="30"/>
  <c r="I12" i="30"/>
  <c r="E13" i="30"/>
  <c r="I13" i="30"/>
  <c r="E14" i="30"/>
  <c r="I14" i="30"/>
  <c r="F8" i="30"/>
  <c r="J8" i="30"/>
  <c r="F9" i="30"/>
  <c r="J9" i="30"/>
  <c r="F10" i="30"/>
  <c r="F11" i="30"/>
  <c r="J11" i="30"/>
  <c r="F12" i="30"/>
  <c r="J12" i="30"/>
  <c r="F13" i="30"/>
  <c r="J13" i="30"/>
  <c r="F14" i="30"/>
  <c r="J10" i="30"/>
  <c r="G8" i="30"/>
  <c r="K8" i="30"/>
  <c r="G9" i="30"/>
  <c r="K9" i="30"/>
  <c r="G10" i="30"/>
  <c r="K10" i="30"/>
  <c r="G11" i="30"/>
  <c r="K11" i="30"/>
  <c r="G12" i="30"/>
  <c r="K12" i="30"/>
  <c r="G13" i="30"/>
  <c r="K13" i="30"/>
  <c r="G14" i="30"/>
  <c r="K14" i="30"/>
  <c r="H8" i="30"/>
  <c r="L8" i="30"/>
  <c r="H9" i="30"/>
  <c r="L9" i="30"/>
  <c r="H10" i="30"/>
  <c r="L10" i="30"/>
  <c r="H11" i="30"/>
  <c r="L11" i="30"/>
  <c r="H12" i="30"/>
  <c r="L12" i="30"/>
  <c r="H13" i="30"/>
  <c r="L13" i="30"/>
  <c r="H14" i="30"/>
  <c r="L14" i="30"/>
  <c r="J14" i="30"/>
  <c r="D13" i="30"/>
  <c r="D12" i="30"/>
  <c r="D11" i="30"/>
  <c r="D14" i="30"/>
  <c r="D10" i="30"/>
  <c r="D9" i="30"/>
  <c r="R8" i="27" l="1"/>
  <c r="V13" i="19"/>
  <c r="V12" i="19"/>
  <c r="V11" i="19"/>
  <c r="V14" i="19"/>
  <c r="V15" i="19"/>
  <c r="R8" i="19"/>
  <c r="P6" i="24"/>
  <c r="J13" i="24" s="1"/>
  <c r="P7" i="23"/>
  <c r="F9" i="23" s="1"/>
  <c r="X15" i="27"/>
  <c r="V15" i="27"/>
  <c r="X14" i="27"/>
  <c r="V14" i="27"/>
  <c r="X13" i="27"/>
  <c r="V13" i="27"/>
  <c r="X12" i="27"/>
  <c r="V12" i="27"/>
  <c r="X11" i="27"/>
  <c r="V11" i="27"/>
  <c r="X15" i="19"/>
  <c r="X14" i="19"/>
  <c r="X13" i="19"/>
  <c r="X12" i="19"/>
  <c r="X11" i="19"/>
  <c r="R15" i="27"/>
  <c r="R14" i="27"/>
  <c r="R13" i="27"/>
  <c r="R12" i="27"/>
  <c r="R11" i="27"/>
  <c r="R12" i="19"/>
  <c r="R13" i="19"/>
  <c r="R14" i="19"/>
  <c r="R15" i="19"/>
  <c r="R11" i="19"/>
  <c r="L10" i="27" l="1"/>
  <c r="F10" i="27"/>
  <c r="K10" i="27"/>
  <c r="H10" i="27"/>
  <c r="J10" i="27"/>
  <c r="G10" i="27"/>
  <c r="I10" i="27"/>
  <c r="E10" i="27"/>
  <c r="J11" i="27"/>
  <c r="I11" i="27"/>
  <c r="G11" i="27"/>
  <c r="F11" i="27"/>
  <c r="K11" i="27"/>
  <c r="H11" i="27"/>
  <c r="E11" i="27"/>
  <c r="E19" i="27"/>
  <c r="J11" i="19"/>
  <c r="G11" i="19"/>
  <c r="F11" i="19"/>
  <c r="K11" i="19"/>
  <c r="I11" i="19"/>
  <c r="H11" i="19"/>
  <c r="E12" i="19"/>
  <c r="E11" i="19"/>
  <c r="K19" i="19"/>
  <c r="E10" i="19"/>
  <c r="K15" i="19"/>
  <c r="G10" i="19"/>
  <c r="J15" i="19"/>
  <c r="G12" i="19"/>
  <c r="I14" i="19"/>
  <c r="I9" i="23"/>
  <c r="K8" i="24"/>
  <c r="K10" i="24"/>
  <c r="J10" i="24"/>
  <c r="J8" i="24"/>
  <c r="K12" i="24"/>
  <c r="K9" i="24"/>
  <c r="J9" i="24"/>
  <c r="K13" i="24"/>
  <c r="J11" i="24"/>
  <c r="I10" i="19"/>
  <c r="F10" i="19"/>
  <c r="K14" i="19"/>
  <c r="I13" i="19"/>
  <c r="L13" i="19"/>
  <c r="E13" i="19"/>
  <c r="L10" i="19"/>
  <c r="K10" i="19"/>
  <c r="J12" i="19"/>
  <c r="G13" i="19"/>
  <c r="J13" i="19"/>
  <c r="L14" i="19"/>
  <c r="I15" i="19"/>
  <c r="K12" i="19"/>
  <c r="G14" i="19"/>
  <c r="K13" i="19"/>
  <c r="F15" i="19"/>
  <c r="G15" i="19"/>
  <c r="H14" i="19"/>
  <c r="F14" i="19"/>
  <c r="L12" i="19"/>
  <c r="E15" i="19"/>
  <c r="J19" i="19"/>
  <c r="J14" i="19"/>
  <c r="J10" i="19"/>
  <c r="H13" i="19"/>
  <c r="I12" i="19"/>
  <c r="E19" i="19"/>
  <c r="L15" i="19"/>
  <c r="H15" i="19"/>
  <c r="H10" i="19"/>
  <c r="F13" i="19"/>
  <c r="E14" i="19"/>
  <c r="H12" i="19"/>
  <c r="F12" i="19"/>
  <c r="F19" i="19"/>
  <c r="G19" i="19"/>
  <c r="H19" i="19"/>
  <c r="I19" i="19"/>
  <c r="X16" i="27"/>
  <c r="D16" i="27" s="1"/>
  <c r="V16" i="27"/>
  <c r="C16" i="27" s="1"/>
  <c r="X16" i="19"/>
  <c r="D16" i="19" s="1"/>
  <c r="K19" i="27"/>
  <c r="G19" i="27"/>
  <c r="F19" i="27"/>
  <c r="J19" i="27"/>
  <c r="I19" i="27"/>
  <c r="H19" i="27"/>
  <c r="J8" i="23"/>
  <c r="F8" i="23"/>
  <c r="I8" i="23"/>
  <c r="E8" i="23"/>
  <c r="L8" i="23"/>
  <c r="H8" i="23"/>
  <c r="D8" i="23"/>
  <c r="K8" i="23"/>
  <c r="G8" i="23"/>
  <c r="J9" i="23"/>
  <c r="L9" i="23"/>
  <c r="K9" i="23"/>
  <c r="E9" i="23"/>
  <c r="G9" i="23"/>
  <c r="H9" i="23"/>
  <c r="G13" i="27"/>
  <c r="F15" i="27"/>
  <c r="F14" i="27"/>
  <c r="F13" i="27"/>
  <c r="J12" i="27"/>
  <c r="I15" i="27"/>
  <c r="E15" i="27"/>
  <c r="I14" i="27"/>
  <c r="E14" i="27"/>
  <c r="I13" i="27"/>
  <c r="E13" i="27"/>
  <c r="I12" i="27"/>
  <c r="E12" i="27"/>
  <c r="L15" i="27"/>
  <c r="H15" i="27"/>
  <c r="L14" i="27"/>
  <c r="H14" i="27"/>
  <c r="L13" i="27"/>
  <c r="H13" i="27"/>
  <c r="L12" i="27"/>
  <c r="H12" i="27"/>
  <c r="K15" i="27"/>
  <c r="G15" i="27"/>
  <c r="K14" i="27"/>
  <c r="G14" i="27"/>
  <c r="K13" i="27"/>
  <c r="K12" i="27"/>
  <c r="G12" i="27"/>
  <c r="J15" i="27"/>
  <c r="J14" i="27"/>
  <c r="J13" i="27"/>
  <c r="F12" i="27"/>
  <c r="V16" i="19"/>
  <c r="C16" i="19" s="1"/>
  <c r="D9" i="23"/>
  <c r="J12" i="24"/>
  <c r="K11" i="24"/>
  <c r="E16" i="19" l="1"/>
  <c r="L16" i="27"/>
  <c r="I16" i="19"/>
  <c r="K16" i="19"/>
  <c r="F16" i="27"/>
  <c r="K16" i="27"/>
  <c r="H16" i="27"/>
  <c r="E16" i="27"/>
  <c r="J16" i="27"/>
  <c r="G16" i="27"/>
  <c r="I16" i="27"/>
  <c r="L16" i="19"/>
  <c r="G16" i="19"/>
  <c r="J16" i="19"/>
  <c r="H16" i="19"/>
  <c r="F16" i="19"/>
</calcChain>
</file>

<file path=xl/comments1.xml><?xml version="1.0" encoding="utf-8"?>
<comments xmlns="http://schemas.openxmlformats.org/spreadsheetml/2006/main">
  <authors>
    <author>Автор</author>
  </authors>
  <commentList>
    <comment ref="I7" authorId="0" shapeId="0">
      <text>
        <r>
          <rPr>
            <b/>
            <sz val="9"/>
            <color indexed="81"/>
            <rFont val="Tahoma"/>
            <family val="2"/>
            <charset val="204"/>
          </rPr>
          <t>Автор:</t>
        </r>
        <r>
          <rPr>
            <sz val="9"/>
            <color indexed="81"/>
            <rFont val="Tahoma"/>
            <family val="2"/>
            <charset val="204"/>
          </rPr>
          <t xml:space="preserve">
3-х летняя лицензия</t>
        </r>
      </text>
    </comment>
    <comment ref="K7" authorId="0" shapeId="0">
      <text>
        <r>
          <rPr>
            <b/>
            <sz val="9"/>
            <color indexed="81"/>
            <rFont val="Tahoma"/>
            <family val="2"/>
            <charset val="204"/>
          </rPr>
          <t>Автор:</t>
        </r>
        <r>
          <rPr>
            <sz val="9"/>
            <color indexed="81"/>
            <rFont val="Tahoma"/>
            <family val="2"/>
            <charset val="204"/>
          </rPr>
          <t xml:space="preserve">
Техподдежка 24/7</t>
        </r>
      </text>
    </comment>
    <comment ref="L7" authorId="0" shapeId="0">
      <text>
        <r>
          <rPr>
            <b/>
            <sz val="9"/>
            <color indexed="81"/>
            <rFont val="Tahoma"/>
            <family val="2"/>
            <charset val="204"/>
          </rPr>
          <t>Автор:</t>
        </r>
        <r>
          <rPr>
            <sz val="9"/>
            <color indexed="81"/>
            <rFont val="Tahoma"/>
            <family val="2"/>
            <charset val="204"/>
          </rPr>
          <t xml:space="preserve">
З-хлетняя лицензия</t>
        </r>
      </text>
    </comment>
    <comment ref="L8" authorId="0" shapeId="0">
      <text>
        <r>
          <rPr>
            <b/>
            <sz val="9"/>
            <color indexed="81"/>
            <rFont val="Tahoma"/>
            <family val="2"/>
            <charset val="204"/>
          </rPr>
          <t>Автор:</t>
        </r>
        <r>
          <rPr>
            <sz val="9"/>
            <color indexed="81"/>
            <rFont val="Tahoma"/>
            <family val="2"/>
            <charset val="204"/>
          </rPr>
          <t xml:space="preserve">
Поддержка 24/7</t>
        </r>
      </text>
    </comment>
  </commentList>
</comments>
</file>

<file path=xl/sharedStrings.xml><?xml version="1.0" encoding="utf-8"?>
<sst xmlns="http://schemas.openxmlformats.org/spreadsheetml/2006/main" count="524" uniqueCount="204">
  <si>
    <t>Наименование</t>
  </si>
  <si>
    <t>до 10</t>
  </si>
  <si>
    <t>call</t>
  </si>
  <si>
    <t>Артикул*</t>
  </si>
  <si>
    <t>DLVI.CERT.y</t>
  </si>
  <si>
    <t>DL80K.CERT.y</t>
  </si>
  <si>
    <t>DL80C.CERT.y</t>
  </si>
  <si>
    <r>
      <t>Цена, руб.</t>
    </r>
    <r>
      <rPr>
        <sz val="9"/>
        <rFont val="Arial"/>
        <family val="2"/>
        <charset val="204"/>
      </rPr>
      <t xml:space="preserve"> (на 1 рабочую станцию/сервер)</t>
    </r>
  </si>
  <si>
    <t>DLLNX.CERT.FSTEC</t>
  </si>
  <si>
    <t>LPP.TBC</t>
  </si>
  <si>
    <t>Крепежная планка Low Profile</t>
  </si>
  <si>
    <t>OP-SW.TBC</t>
  </si>
  <si>
    <t>Датчик вскрытия корпуса</t>
  </si>
  <si>
    <r>
      <t xml:space="preserve">Сервер лицензий для Dallas Lock 8.0.
</t>
    </r>
    <r>
      <rPr>
        <sz val="8"/>
        <rFont val="Arial"/>
        <family val="2"/>
        <charset val="204"/>
      </rPr>
      <t>Право на использование* для управления Dallas Lock 8.0 (1 терминальный сервер, без возможности управ-
ления Серверами безопасности). Бессрочная лицензия.</t>
    </r>
  </si>
  <si>
    <r>
      <t xml:space="preserve">Сервер лицензий для Dallas Lock 8.0.
</t>
    </r>
    <r>
      <rPr>
        <sz val="8"/>
        <rFont val="Arial"/>
        <family val="2"/>
        <charset val="204"/>
      </rPr>
      <t>Право на использование* для управления Dallas Lock 8.0 (5 терминальных серверов, без возможности управ-
ления Серверами безопасности). Бессрочная лицензия.</t>
    </r>
  </si>
  <si>
    <r>
      <t xml:space="preserve">Сервер лицензий для Dallas Lock 8.0.
</t>
    </r>
    <r>
      <rPr>
        <sz val="8"/>
        <rFont val="Arial"/>
        <family val="2"/>
        <charset val="204"/>
      </rPr>
      <t>Право на использование* для управления Dallas Lock 8.0 (1 Сервер безопасности, без возможности управле-
ния терминальными серверами). Бессрочная лицензия.</t>
    </r>
  </si>
  <si>
    <r>
      <t xml:space="preserve">Сервер лицензий для Dallas Lock 8.0.
</t>
    </r>
    <r>
      <rPr>
        <sz val="8"/>
        <rFont val="Arial"/>
        <family val="2"/>
        <charset val="204"/>
      </rPr>
      <t>Право на использование* для управления Dallas Lock 8.0 (5 Серверов безопасности, 5 терминальных серве-
ров). Бессрочная лицензия.</t>
    </r>
  </si>
  <si>
    <r>
      <t xml:space="preserve">Сервер лицензий для Dallas Lock 8.0.
</t>
    </r>
    <r>
      <rPr>
        <sz val="8"/>
        <rFont val="Arial"/>
        <family val="2"/>
        <charset val="204"/>
      </rPr>
      <t>Право на использование* для управления Dallas Lock 8.0 без ограничений по количеству Серверов безопас-
ности и по количеству терминальных серверов). Бессрочная лицензия.</t>
    </r>
  </si>
  <si>
    <t>INST-DLVI.x</t>
  </si>
  <si>
    <r>
      <rPr>
        <b/>
        <sz val="8"/>
        <rFont val="Arial"/>
        <family val="2"/>
        <charset val="204"/>
      </rPr>
      <t xml:space="preserve">Dallas Lock СЗИ ВИ.
</t>
    </r>
    <r>
      <rPr>
        <sz val="8"/>
        <rFont val="Arial"/>
        <family val="2"/>
        <charset val="204"/>
      </rPr>
      <t>Установка и настройка</t>
    </r>
  </si>
  <si>
    <t>INST-DLTBC.C.x</t>
  </si>
  <si>
    <r>
      <rPr>
        <b/>
        <sz val="8"/>
        <rFont val="Arial"/>
        <family val="2"/>
        <charset val="204"/>
      </rPr>
      <t xml:space="preserve">Dallas Lock СДЗ.
</t>
    </r>
    <r>
      <rPr>
        <sz val="8"/>
        <rFont val="Arial"/>
        <family val="2"/>
        <charset val="204"/>
      </rPr>
      <t>Установка и настройка</t>
    </r>
  </si>
  <si>
    <t>INST-DLLNX.C.x</t>
  </si>
  <si>
    <r>
      <rPr>
        <b/>
        <sz val="8"/>
        <rFont val="Arial"/>
        <family val="2"/>
        <charset val="204"/>
      </rPr>
      <t xml:space="preserve">Dallas Lock Linux: клиентская часть.
</t>
    </r>
    <r>
      <rPr>
        <sz val="8"/>
        <rFont val="Arial"/>
        <family val="2"/>
        <charset val="204"/>
      </rPr>
      <t>Установка и настройка</t>
    </r>
  </si>
  <si>
    <t>INST-DL8.S.x</t>
  </si>
  <si>
    <r>
      <rPr>
        <b/>
        <sz val="8"/>
        <rFont val="Arial"/>
        <family val="2"/>
        <charset val="204"/>
      </rPr>
      <t xml:space="preserve">Сервер безопасности Dallas Lock.
</t>
    </r>
    <r>
      <rPr>
        <sz val="8"/>
        <rFont val="Arial"/>
        <family val="2"/>
        <charset val="204"/>
      </rPr>
      <t>Установка и настройка</t>
    </r>
  </si>
  <si>
    <t>INST-DL8.S.MS.x</t>
  </si>
  <si>
    <r>
      <rPr>
        <b/>
        <sz val="8"/>
        <rFont val="Arial"/>
        <family val="2"/>
        <charset val="204"/>
      </rPr>
      <t xml:space="preserve">Менеджер серверов безопасности Dallas
Lock. </t>
    </r>
    <r>
      <rPr>
        <sz val="8"/>
        <rFont val="Arial"/>
        <family val="2"/>
        <charset val="204"/>
      </rPr>
      <t>Установка и настройка</t>
    </r>
  </si>
  <si>
    <t>INST-DL8.S.LS.x</t>
  </si>
  <si>
    <r>
      <rPr>
        <b/>
        <sz val="8"/>
        <rFont val="Arial"/>
        <family val="2"/>
        <charset val="204"/>
      </rPr>
      <t xml:space="preserve">Сервер лицензий Dallas Lock.
</t>
    </r>
    <r>
      <rPr>
        <sz val="8"/>
        <rFont val="Arial"/>
        <family val="2"/>
        <charset val="204"/>
      </rPr>
      <t>Установка и настройка</t>
    </r>
  </si>
  <si>
    <t>Dallas Lock 8.0-К Базовый.
Право на использование** (СЗИ НСД, СКН). Бессрочная лицензия.</t>
  </si>
  <si>
    <t>DALLAS LOCK 8.0-K</t>
  </si>
  <si>
    <t>БЕССРОЧНЫЕ ЛИЦЕНЗИИ</t>
  </si>
  <si>
    <t>СЕРТИФИЦИРОВАННЫЕ КОМПЛЕКТЫ</t>
  </si>
  <si>
    <t>5000+</t>
  </si>
  <si>
    <t>1000..4999</t>
  </si>
  <si>
    <t>10..24</t>
  </si>
  <si>
    <t>25..49</t>
  </si>
  <si>
    <t>50..99</t>
  </si>
  <si>
    <t>100..249</t>
  </si>
  <si>
    <t>250..499</t>
  </si>
  <si>
    <t>500..999</t>
  </si>
  <si>
    <t>ПРИМЕЧАНИЯ</t>
  </si>
  <si>
    <t>учесть в стоимости лицензий гарантийное сопровождение (основной пакет) на 3 года</t>
  </si>
  <si>
    <t>DALLAS LOCK LINUX</t>
  </si>
  <si>
    <t>СДЗ DALLAS LOCK</t>
  </si>
  <si>
    <r>
      <t>Цена, руб.</t>
    </r>
    <r>
      <rPr>
        <sz val="9"/>
        <rFont val="Arial"/>
        <family val="2"/>
        <charset val="204"/>
      </rPr>
      <t xml:space="preserve"> (на 1 рабочую станцию/сервер) **</t>
    </r>
  </si>
  <si>
    <t>DALLAS LOCK 8.0-С</t>
  </si>
  <si>
    <t>Dallas Lock 8.0-С Базовый.
Право на использование** (СЗИ НСД, СКН). Бессрочная лицензия.</t>
  </si>
  <si>
    <t>Dallas Lock 8.0-С.
Сертифицированный комплект для установки***.</t>
  </si>
  <si>
    <t>Dallas Lock 8.0-К.
Сертифицированный комплект для установки***.</t>
  </si>
  <si>
    <t>УСЛУГИ ПО УСТАНОВKЕ И БАЗОВОЙ НАСТРОЙKЕ СЗИ DALLAS LOCK</t>
  </si>
  <si>
    <t xml:space="preserve">СЗИ ВИ DALLAS LOCK </t>
  </si>
  <si>
    <r>
      <t>Цена, руб.</t>
    </r>
    <r>
      <rPr>
        <sz val="9"/>
        <rFont val="Arial"/>
        <family val="2"/>
        <charset val="204"/>
      </rPr>
      <t xml:space="preserve"> (лицензируется по количеству АРМ, подключенных к одному Серверу безопасности)</t>
    </r>
  </si>
  <si>
    <t>Сервер безопасности для Dallas Lock 8.0-С.
Право на использование**.
Бессрочная лицензия.</t>
  </si>
  <si>
    <t>Сервер безопасности для Dallas Lock 8.0-К.
Право на использование**.
Бессрочная лицензия.</t>
  </si>
  <si>
    <t>DL80C.S.x.z</t>
  </si>
  <si>
    <t>DL80K.S.x.z</t>
  </si>
  <si>
    <t>• Менеджер серверов безопасности Dallas Lock позволяет централизованно управлять несколькими Серверами безопасности.</t>
  </si>
  <si>
    <t>• Стоимость лицензии на Менеджер серверов безопасности Dallas Lock входит в стоимость лицензии на Сервер безопасности.</t>
  </si>
  <si>
    <t>• Стоимость лицензии на Сервер конфигураций Dallas Lock входит в стоимость лицензии на Сервер безопасности Dallas Lock.</t>
  </si>
  <si>
    <t>• Сервер конфигураций Dallas Lock позволяет создавать и визировать паспорта программного обеспечения. Клиентскими подключениями для Сервера конфигураций Dallas Lock</t>
  </si>
  <si>
    <t>являются модули паспортизации (МП) программного обеспечения в составе Dallas Lock 8.0 редакций «К» и «С», которые лицензируются отдельно.</t>
  </si>
  <si>
    <t>СЕРВЕР ЛИЦЕНЗИЙ DALLAS LOCK</t>
  </si>
  <si>
    <r>
      <t xml:space="preserve">Цена, руб. </t>
    </r>
    <r>
      <rPr>
        <sz val="10"/>
        <rFont val="Arial"/>
        <family val="2"/>
        <charset val="204"/>
      </rPr>
      <t>(лицензируется по количеству СЗИ, подключенных к
одному Серверу безопасности)</t>
    </r>
  </si>
  <si>
    <t>DL80K.S.LS.0-1.z
DL80C.S.LS.0-1.z</t>
  </si>
  <si>
    <t>DL80K.S.LS.0-5.z
DL80C.S.LS.0-5.z</t>
  </si>
  <si>
    <t>DL80K.S.LS.1-0.z
DL80C.S.LS.1-0.z</t>
  </si>
  <si>
    <t>DL80K.S.LS.5-5.z
DL80C.S.LS.5-5.z</t>
  </si>
  <si>
    <t>DL80K.S.LS.50-50.z
DL80C.S.LS.50-50.z</t>
  </si>
  <si>
    <t>DL80K.S.LS.UNLIM.z
DL80C.S.LS.UNLIM.z</t>
  </si>
  <si>
    <r>
      <t xml:space="preserve">Сервер лицензий для Dallas Lock 8.0.
</t>
    </r>
    <r>
      <rPr>
        <sz val="8"/>
        <rFont val="Arial"/>
        <family val="2"/>
        <charset val="204"/>
      </rPr>
      <t>Право на использование* для управления Dallas Lock 8.0 (50 Серверов безопасности, 50 терминальных сер-
веров). Бессрочная лицензия.</t>
    </r>
  </si>
  <si>
    <t>описание продукта</t>
  </si>
  <si>
    <t>цены</t>
  </si>
  <si>
    <r>
      <rPr>
        <sz val="9"/>
        <color theme="1"/>
        <rFont val="Arial"/>
        <family val="2"/>
        <charset val="204"/>
      </rPr>
      <t xml:space="preserve">Редакция </t>
    </r>
    <r>
      <rPr>
        <b/>
        <sz val="9"/>
        <color theme="1"/>
        <rFont val="Arial"/>
        <family val="2"/>
        <charset val="204"/>
      </rPr>
      <t>"K"</t>
    </r>
  </si>
  <si>
    <r>
      <rPr>
        <sz val="9"/>
        <color theme="1"/>
        <rFont val="Arial"/>
        <family val="2"/>
        <charset val="204"/>
      </rPr>
      <t xml:space="preserve">Редакция </t>
    </r>
    <r>
      <rPr>
        <b/>
        <sz val="9"/>
        <color theme="1"/>
        <rFont val="Arial"/>
        <family val="2"/>
        <charset val="204"/>
      </rPr>
      <t>"C"</t>
    </r>
  </si>
  <si>
    <t>FW-</t>
  </si>
  <si>
    <t>IPS-</t>
  </si>
  <si>
    <t>MP-</t>
  </si>
  <si>
    <t>BR-</t>
  </si>
  <si>
    <t>ITC-</t>
  </si>
  <si>
    <t xml:space="preserve">МЭ, </t>
  </si>
  <si>
    <t xml:space="preserve">СОВ, </t>
  </si>
  <si>
    <t xml:space="preserve">МП, </t>
  </si>
  <si>
    <t xml:space="preserve">РК, </t>
  </si>
  <si>
    <t xml:space="preserve">СКН2, </t>
  </si>
  <si>
    <t>24x7</t>
  </si>
  <si>
    <r>
      <rPr>
        <b/>
        <sz val="9"/>
        <rFont val="Arial"/>
        <family val="2"/>
        <charset val="204"/>
      </rPr>
      <t>Цена, руб.</t>
    </r>
    <r>
      <rPr>
        <sz val="9"/>
        <rFont val="Arial"/>
        <family val="2"/>
        <charset val="204"/>
      </rPr>
      <t xml:space="preserve"> (на 1 рабочую станцию/сервер)</t>
    </r>
  </si>
  <si>
    <t>ЕДИНЫЙ ЦЕНТР УПРАВЛЕНИЯ DALLAS LOCK</t>
  </si>
  <si>
    <r>
      <t>Цена, руб.</t>
    </r>
    <r>
      <rPr>
        <sz val="9"/>
        <rFont val="Arial"/>
        <family val="2"/>
        <charset val="204"/>
      </rPr>
      <t xml:space="preserve"> (лицензируется по количеству АРМ, подключенных к одному ЕЦУ)</t>
    </r>
  </si>
  <si>
    <t>Терминальное подключение для Dallas Lock 8.0-К.
Право на использование**. Бессрочная лицензия.</t>
  </si>
  <si>
    <t>Dallas Lock 8.0-К. Модуль паспортизации ПО (МП, подключение к Серверу конфигураций Dallas Lock). Право на использование**. Бессрочная лицензия.</t>
  </si>
  <si>
    <t>Dallas Lock 8.0-К. Модуль «Межсетевой экран».
Право на использование** (МЭ). Бессрочная лицензия.</t>
  </si>
  <si>
    <t>Dallas Lock 8.0-К. Модуль «Система обнаружения и предотвращения вторжений». Включает модуль "Безопасная среда" ("песочница"). Право на использование** (СОВ). Бессрочная лицензия.</t>
  </si>
  <si>
    <t>Dallas Lock 8.0-К. Модуль «СКН уровня отчуждения (переноса) информации». Право на использование** (СКН2). Бессрочная лицензия.</t>
  </si>
  <si>
    <t>Dallas Lock 8.0-С. Модуль «Межсетевой экран».
Право на использование** (МЭ). Бессрочная лицензия.</t>
  </si>
  <si>
    <t>Dallas Lock 8.0-С. Модуль «Система обнаружения и предотвращения вторжений». Включает модуль "Безопасная среда" ("песочница"). Право на использование** (СОВ). Бессрочная лицензия.</t>
  </si>
  <si>
    <t>Dallas Lock 8.0-С. Модуль паспортизации ПО (МП, подключение к Серверу конфигураций Dallas Lock). Право на использование**. Бессрочная лицензия.</t>
  </si>
  <si>
    <t>Dallas Lock 8.0-С. Модуль «Резервное копирование и восстановление»****. Право на использование** (РК). Бессрочная лицензия.</t>
  </si>
  <si>
    <t>Dallas Lock 8.0-С. Модуль «СКН уровня отчуждения (переноса) информации». Право на использование** (СКН2). Бессрочная лицензия.</t>
  </si>
  <si>
    <t>Терминальное подключение для Dallas Lock 8.0-C.
Право на использование**. Бессрочная лицензия.</t>
  </si>
  <si>
    <t>Dallas Lock 8.0-К. Модуль «Резервное копирование и восстановление». Право на использование** (РК). Бессрочная лицензия.</t>
  </si>
  <si>
    <t>Единый центр управления Dallas Lock. Максимальное количество сетевых устройств для мониторинга: 3. Право на использование**. Бессрочная лицензия.</t>
  </si>
  <si>
    <t>Единый центр управления Dallas Lock. Максимальное количество сетевых устройств для мониторинга: 10. Право на использование**. Бессрочная лицензия.</t>
  </si>
  <si>
    <t>Единый центр управления Dallas Lock. Максимальное количество сетевых устройств для мониторинга: 25. Право на использование**. Бессрочная лицензия.</t>
  </si>
  <si>
    <t>Единый центр управления Dallas Lock. Максимальное количество сетевых устройств для мониторинга: 50. Право на использование**. Бессрочная лицензия.</t>
  </si>
  <si>
    <t>Единый центр управления Dallas Lock. Максимальное количество сетевых устройств для мониторинга: 100. Право на использование**. Бессрочная лицензия.</t>
  </si>
  <si>
    <t>Единый центр управления Dallas Lock. Максимальное количество сетевых устройств для мониторинга: 500. Право на использование**. Бессрочная лицензия.</t>
  </si>
  <si>
    <t>Единый центр управления Dallas Lock. Максимальное количество сетевых устройств для мониторинга: 1000. Право на использование**. Бессрочная лицензия.</t>
  </si>
  <si>
    <t>Единый центр управления Dallas Lock. Максимальное количество сетевых устройств для мониторинга: неограниченно. Право на использование**. Бессрочная лицензия.</t>
  </si>
  <si>
    <t>USB-R.TBC</t>
  </si>
  <si>
    <t>Считыватель iButton для USB порта</t>
  </si>
  <si>
    <t>INN-R.TBC</t>
  </si>
  <si>
    <t>Считыватель iButton для подключения непосредственно к разъему на плате СДЗ</t>
  </si>
  <si>
    <r>
      <rPr>
        <b/>
        <sz val="8"/>
        <rFont val="Arial"/>
        <family val="2"/>
        <charset val="204"/>
      </rPr>
      <t xml:space="preserve">Dallas Lock 8.0-К (СЗИ НСД, СКН): клиентская
часть. </t>
    </r>
    <r>
      <rPr>
        <sz val="8"/>
        <rFont val="Arial"/>
        <family val="2"/>
        <charset val="204"/>
      </rPr>
      <t>Установка и настройка</t>
    </r>
  </si>
  <si>
    <t>INST-DL8K.C.UADS.x</t>
  </si>
  <si>
    <t>INST-DL8C.C.UADS.x</t>
  </si>
  <si>
    <r>
      <rPr>
        <b/>
        <sz val="8"/>
        <rFont val="Arial"/>
        <family val="2"/>
        <charset val="204"/>
      </rPr>
      <t xml:space="preserve">Dallas Lock 8.0-C (СЗИ НСД, СКН): клиентская
часть. </t>
    </r>
    <r>
      <rPr>
        <sz val="8"/>
        <rFont val="Arial"/>
        <family val="2"/>
        <charset val="204"/>
      </rPr>
      <t>Установка и настройка</t>
    </r>
  </si>
  <si>
    <t>INST-DL8K.C.UADS-FW.x</t>
  </si>
  <si>
    <t>INST-DL8C.C.UADS-FW.x</t>
  </si>
  <si>
    <t>INST-DL8K.C.UADS-FWIPS.x</t>
  </si>
  <si>
    <t>INST-DL8C.C.UADS-FWIPS.x</t>
  </si>
  <si>
    <r>
      <rPr>
        <b/>
        <sz val="8"/>
        <rFont val="Arial"/>
        <family val="2"/>
        <charset val="204"/>
      </rPr>
      <t xml:space="preserve">Dallas Lock 8.0-K (СЗИ НСД, СКН, МЭ): клиент-
ская часть. </t>
    </r>
    <r>
      <rPr>
        <sz val="8"/>
        <rFont val="Arial"/>
        <family val="2"/>
        <charset val="204"/>
      </rPr>
      <t>Установка и настройка</t>
    </r>
  </si>
  <si>
    <r>
      <rPr>
        <b/>
        <sz val="8"/>
        <rFont val="Arial"/>
        <family val="2"/>
        <charset val="204"/>
      </rPr>
      <t xml:space="preserve">Dallas Lock 8.0-C (СЗИ НСД, СКН, МЭ): клиент-
ская часть. </t>
    </r>
    <r>
      <rPr>
        <sz val="8"/>
        <rFont val="Arial"/>
        <family val="2"/>
        <charset val="204"/>
      </rPr>
      <t>Установка и настройка</t>
    </r>
  </si>
  <si>
    <r>
      <rPr>
        <b/>
        <sz val="8"/>
        <rFont val="Arial"/>
        <family val="2"/>
        <charset val="204"/>
      </rPr>
      <t xml:space="preserve">Dallas Lock 8.0-K (СЗИ НСД, СКН, МЭ, СОВ):
клиентская часть. </t>
    </r>
    <r>
      <rPr>
        <sz val="8"/>
        <rFont val="Arial"/>
        <family val="2"/>
        <charset val="204"/>
      </rPr>
      <t>Установка и настройка</t>
    </r>
  </si>
  <si>
    <r>
      <rPr>
        <b/>
        <sz val="8"/>
        <rFont val="Arial"/>
        <family val="2"/>
        <charset val="204"/>
      </rPr>
      <t xml:space="preserve">Dallas Lock 8.0-C (СЗИ НСД, СКН, МЭ, СОВ):
клиентская часть. </t>
    </r>
    <r>
      <rPr>
        <sz val="8"/>
        <rFont val="Arial"/>
        <family val="2"/>
        <charset val="204"/>
      </rPr>
      <t>Установка и настройка</t>
    </r>
  </si>
  <si>
    <t>INST-DLMC.S.x</t>
  </si>
  <si>
    <r>
      <rPr>
        <b/>
        <sz val="8"/>
        <rFont val="Arial"/>
        <family val="2"/>
        <charset val="204"/>
      </rPr>
      <t xml:space="preserve">Единый центр управления Dallas Lock.
</t>
    </r>
    <r>
      <rPr>
        <sz val="8"/>
        <rFont val="Arial"/>
        <family val="2"/>
        <charset val="204"/>
      </rPr>
      <t>Установка и настройка, 3 сетевых устройства</t>
    </r>
  </si>
  <si>
    <t>СДЗ ПР ( УРОВНЯ ПЛАТЫ РАСШИРЕНИЯ)</t>
  </si>
  <si>
    <t>DLTBB.CERT.Y</t>
  </si>
  <si>
    <t>СДЗ УБ Dallas Lock
Право на использование***. Бессрочная лицензия.</t>
  </si>
  <si>
    <t>СДЗ УБ Dallas Lock
Сертифицированный комплект для установки****.</t>
  </si>
  <si>
    <t>БЕССРОЧНЫЕ ЛИЦЕНЗИИ НА СЗИ ВИ</t>
  </si>
  <si>
    <t>Цена, руб. (на 1 физический процессор)</t>
  </si>
  <si>
    <t>БЕССРОЧНЫЕ ЛИЦЕНЗИИ НА АГЕНТОВ ЕЦУ</t>
  </si>
  <si>
    <t>Агент ЕЦУ Dallas Lock для ОС AstraLinux, Alt Linux, РЭД ОС, Centos, Windows. Право на использование. Бессрочная лицензия</t>
  </si>
  <si>
    <t>БЕССРОЧНЫЕ ЛИЦЕНЗИИ НА ЦЕНТР УПРАВЛЕНИЯ - подробнее на вкладке ЕЦУ</t>
  </si>
  <si>
    <t>СДЗ "Dallas Lock" PCIE c гарантийным сопровождением (основной пакет) на 1 год, сертификат ФСТЭК России</t>
  </si>
  <si>
    <t>СДЗ "Dallas Lock" M.2 c гарантийным сопровождением (основной пакет) на 1 год, сертификат ФСТЭК России</t>
  </si>
  <si>
    <t>СДЗ "Dallas Lock" MiniPCIE c гарантийным сопровождением (основной пакет) на 1 год, сертификат ФСТЭК России</t>
  </si>
  <si>
    <t>СДЗ ПР , сертификат ФСТЭК России</t>
  </si>
  <si>
    <t>СДЗ ПР ( УРОВНЯ ПЛАТЫ РАСШИРЕНИЯ), сертификат МО России</t>
  </si>
  <si>
    <t>СДЗ "Dallas Lock" PCIE c гарантийным сопровождением (основной пакет) на 1 год, сертификат МО России</t>
  </si>
  <si>
    <t>СДЗ "Dallas Lock" M.2 c гарантийным сопровождением (основной пакет) на 1 год, сертификат МО России</t>
  </si>
  <si>
    <t>СДЗ "Dallas Lock" MiniPCIE c гарантийным сопровождением (основной пакет) на 1 год, сертификат МО России</t>
  </si>
  <si>
    <t>СДЗ УБ (УРОВНЯ BIOS) - программный модуль доверенной загрузки</t>
  </si>
  <si>
    <t>МЕНЕДЖЕР СЕРВЕРОВ БЕЗОПАСНОСТИ DALLAS LOCK (в новые проекты не поставляется)</t>
  </si>
  <si>
    <t>СЕРВЕР КОНФИГУРАЦИЙ DALLAS LOCK (в новые проекты не поставляется)</t>
  </si>
  <si>
    <t>СЕРВЕР БЕЗОПАСНОСТИ DALLAS LOCK (в новые проекты не поставляется)</t>
  </si>
  <si>
    <t>СЕРВЕР ЛИЦЕНЗИЙ DALLAS LOCK (в новые проекты не поставляется)</t>
  </si>
  <si>
    <t>1000</t>
  </si>
  <si>
    <t>3000</t>
  </si>
  <si>
    <t>DLW.CERT.FSTEC</t>
  </si>
  <si>
    <t>без ограничений</t>
  </si>
  <si>
    <t>75% от стоимости новой лицензии</t>
  </si>
  <si>
    <t>ШЛЮЗ БЕЗОПАСНОСТИ WAF DALLAS LOCK</t>
  </si>
  <si>
    <t xml:space="preserve">       24x7</t>
  </si>
  <si>
    <t>Срочная лицензия на 3 года с гарантийным сопровождением</t>
  </si>
  <si>
    <t>Пропускная способность изделия, rps.**</t>
  </si>
  <si>
    <t>** Пропускная способность зависит от инфраструктуры заказчика.</t>
  </si>
  <si>
    <t>*** На основании статьи № 149 п. 2 пп. 26 НК РФ стоимость передаваемых неисключительных прав на используемое программное обеспечение не облагается НДС.</t>
  </si>
  <si>
    <r>
      <rPr>
        <b/>
        <sz val="8"/>
        <rFont val="Arial"/>
        <family val="2"/>
        <charset val="204"/>
      </rPr>
      <t>Шлюз безопасности WAF Dallas Lock.</t>
    </r>
    <r>
      <rPr>
        <sz val="8"/>
        <rFont val="Arial"/>
        <family val="2"/>
        <charset val="204"/>
      </rPr>
      <t xml:space="preserve">
Сертифицированный комплект для установки.****</t>
    </r>
  </si>
  <si>
    <t xml:space="preserve">**** В стоимость входит НДС 20%. </t>
  </si>
  <si>
    <t>Продление права на использование лицензии*** Шлюза безопасности WAF Dallas Lock.</t>
  </si>
  <si>
    <t>СРОЧНЫЕ ЛИЦЕНЗИИ</t>
  </si>
  <si>
    <t>ПРОДЛЕНИЕ СРОЧНОЙ ЛИЦЕНЗИИ</t>
  </si>
  <si>
    <t>*.UPG</t>
  </si>
  <si>
    <t>Единый центр управления Dallas Lock. Максимальное количество сетевых устройств для мониторинга: 3. Право на использование***. Бессрочная лицензия.</t>
  </si>
  <si>
    <t>учесть в стоимости гарантийное сопровождение (основной пакет) на 3 года</t>
  </si>
  <si>
    <t>Dallas Lock Linux. Модуль «Система обнаружения вторжений».
Право на использование****. Универсальная бессрочная лицензия.</t>
  </si>
  <si>
    <t>DLW.S.WAF.x.</t>
  </si>
  <si>
    <t>DLW.S.WAF-UTM.x.</t>
  </si>
  <si>
    <t>DLW.S.WAF-UTM.CLA.x.</t>
  </si>
  <si>
    <t>DLW.S.UTM.x.</t>
  </si>
  <si>
    <t>DLW.S.WAF-UTM.CLP.x.</t>
  </si>
  <si>
    <r>
      <t xml:space="preserve">* «x» – пропускная способность изделия; «y» – срок действия срочной лицензии: 1Y - 12 месяцев, </t>
    </r>
    <r>
      <rPr>
        <b/>
        <sz val="11"/>
        <color rgb="FF000000"/>
        <rFont val="Calibri"/>
        <family val="2"/>
        <charset val="204"/>
        <scheme val="minor"/>
      </rPr>
      <t>3Y</t>
    </r>
    <r>
      <rPr>
        <sz val="11"/>
        <color rgb="FF000000"/>
        <rFont val="Calibri"/>
        <family val="2"/>
        <charset val="204"/>
        <scheme val="minor"/>
      </rPr>
      <t xml:space="preserve"> - 36 месяцев, гарантийное сопровождение 24/7 - </t>
    </r>
    <r>
      <rPr>
        <b/>
        <sz val="11"/>
        <color rgb="FF000000"/>
        <rFont val="Calibri"/>
        <family val="2"/>
        <charset val="204"/>
        <scheme val="minor"/>
      </rPr>
      <t>247</t>
    </r>
    <r>
      <rPr>
        <sz val="11"/>
        <color rgb="FF000000"/>
        <rFont val="Calibri"/>
        <family val="2"/>
        <charset val="204"/>
        <scheme val="minor"/>
      </rPr>
      <t>.</t>
    </r>
  </si>
  <si>
    <t>Dallas Lock Linux. Модуль «Межсетевой экран».
Право на использование*** (МЭ). Бессрочная лицензия.</t>
  </si>
  <si>
    <r>
      <rPr>
        <b/>
        <sz val="8"/>
        <rFont val="Arial"/>
        <family val="2"/>
        <charset val="204"/>
      </rPr>
      <t>Dallas Lock Linux.</t>
    </r>
    <r>
      <rPr>
        <sz val="8"/>
        <rFont val="Arial"/>
        <family val="2"/>
        <charset val="204"/>
      </rPr>
      <t xml:space="preserve">
Право на использование*** (СЗИ НСД, СКН).
Бессрочная лицензия.</t>
    </r>
  </si>
  <si>
    <r>
      <rPr>
        <b/>
        <sz val="8"/>
        <rFont val="Arial"/>
        <family val="2"/>
        <charset val="204"/>
      </rPr>
      <t>Dallas Lock Linux.</t>
    </r>
    <r>
      <rPr>
        <sz val="8"/>
        <rFont val="Arial"/>
        <family val="2"/>
        <charset val="204"/>
      </rPr>
      <t xml:space="preserve">
Сертифицированный комплект для установки****.</t>
    </r>
  </si>
  <si>
    <t xml:space="preserve">Dallas Lock Linux/Dallas Lock 8.0-K. (СЗИ НСД, СКН). 
Право на использование*** (универсальная бессрочная лицензия) 
</t>
  </si>
  <si>
    <t xml:space="preserve">Dallas Lock Linux/Dallas Lock 8.0-K.Модуль "Межсетевой экран". 
Право на использование*** (универсальная бессрочная лицензия) 
</t>
  </si>
  <si>
    <t xml:space="preserve">Dallas Lock Linux/Dallas Lock 8.0-K.Модуль "Система обнаружения вторжений". 
Право на использование*** (универсальная бессрочная лицензия) 
</t>
  </si>
  <si>
    <t xml:space="preserve">        СДЗ DALLAS LOCK</t>
  </si>
  <si>
    <t xml:space="preserve">      ШЛЮЗ БЕЗОПАСНОСТИ WAF DALLAS LOCK</t>
  </si>
  <si>
    <t xml:space="preserve">      DALLAS LOCK 8.0-С</t>
  </si>
  <si>
    <t xml:space="preserve">      DALLAS LOCK 8.0-K</t>
  </si>
  <si>
    <t xml:space="preserve">        СЗИ ВИ DALLAS LOCK</t>
  </si>
  <si>
    <t xml:space="preserve">        DALLAS LOCK LINUX</t>
  </si>
  <si>
    <t xml:space="preserve">      ЕДИНЫЙ ЦЕНТР УПРАВЛЕНИЯ DALLAS LOCK</t>
  </si>
  <si>
    <t>Dallas Lock Linux. Модуль «Система обнаружения вторжений».
Право на использование*** (СОВ**). Бессрочная лицензия.</t>
  </si>
  <si>
    <t>учесть в стоимости  гарантийное сопровождение (основной пакет) на 3 года</t>
  </si>
  <si>
    <t>Dallas Lock Linux. (СЗИ НСД, СКН, МЭ, СОВ**)
Право на использование***. Бессрочная лицензия.</t>
  </si>
  <si>
    <t>Dallas Lock Linux. Модули (СКН, МЭ, СОВ**).
Право на использование*** Бессрочная лицензия.</t>
  </si>
  <si>
    <t xml:space="preserve">ПАКЕТНОЕ ПРЕДЛОЖЕНИЕ DALLAS LOCK LINUX ДЛЯ ОПЕРАЦИОННЫХ СИСТЕМ </t>
  </si>
  <si>
    <t>СЗИ ВИ Dallas Lock. Универсальная лицензия для ESXi, KVM серверов (гипервизоров). Право на использование**. Бессрочная лицензия.</t>
  </si>
  <si>
    <t>СЗИ ВИ Dallas Lock.
Сертифицированный комплект для установки***.</t>
  </si>
  <si>
    <r>
      <t>СЗИ ВИ Dallas Lock. Универсальная лицензия для ESXi,</t>
    </r>
    <r>
      <rPr>
        <b/>
        <sz val="8"/>
        <rFont val="Arial"/>
        <family val="2"/>
        <charset val="204"/>
      </rPr>
      <t xml:space="preserve"> Hyper-V</t>
    </r>
    <r>
      <rPr>
        <sz val="8"/>
        <rFont val="Arial"/>
        <family val="2"/>
        <charset val="204"/>
      </rPr>
      <t xml:space="preserve"> и KVM серверов (гипервизоров). Право на использование**. Бессрочная лицензия.</t>
    </r>
  </si>
  <si>
    <t>ПРОЧЕЕ</t>
  </si>
  <si>
    <t>RUTKN.F.x.12M</t>
  </si>
  <si>
    <t>Рутокен ЭЦП 2.0 Серт. ФСТЭК ***</t>
  </si>
  <si>
    <t>Подробнее на сайте &gt;&gt;</t>
  </si>
  <si>
    <t>Dallas Lock Linux.
Сертифицированный комплект для установки***.</t>
  </si>
  <si>
    <t>Действителен с 21.04.2025 г.</t>
  </si>
  <si>
    <t xml:space="preserve">По вопросам приобретения продуктов обращайтесь в отдел продаж системного программного обеспечения: 
Тел.: +7 495 642 78 78, +7 (495) 921-15-67
Эл. почта: soft@rarus.ru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</si>
</sst>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quot;"/>
    <numFmt numFmtId="165" formatCode="0.0000"/>
  </numFmts>
  <fonts count="35" x14ac:knownFonts="1">
    <font>
      <sz val="11"/>
      <color theme="1"/>
      <name val="Calibri"/>
      <family val="2"/>
      <charset val="204"/>
      <scheme val="minor"/>
    </font>
    <font>
      <b/>
      <sz val="10"/>
      <color indexed="8"/>
      <name val="Calibri"/>
      <family val="2"/>
      <charset val="204"/>
    </font>
    <font>
      <sz val="11"/>
      <color indexed="8"/>
      <name val="Calibri"/>
      <family val="2"/>
      <charset val="204"/>
    </font>
    <font>
      <u/>
      <sz val="11"/>
      <color indexed="12"/>
      <name val="Calibri"/>
      <family val="2"/>
      <charset val="204"/>
    </font>
    <font>
      <sz val="11"/>
      <color rgb="FFFF0000"/>
      <name val="Calibri"/>
      <family val="2"/>
      <charset val="204"/>
      <scheme val="minor"/>
    </font>
    <font>
      <sz val="10"/>
      <name val="Arial"/>
      <family val="2"/>
      <charset val="204"/>
    </font>
    <font>
      <b/>
      <sz val="9"/>
      <name val="Arial"/>
      <family val="2"/>
      <charset val="204"/>
    </font>
    <font>
      <b/>
      <sz val="9"/>
      <color theme="1"/>
      <name val="Arial"/>
      <family val="2"/>
      <charset val="204"/>
    </font>
    <font>
      <b/>
      <sz val="8"/>
      <name val="Arial"/>
      <family val="2"/>
      <charset val="204"/>
    </font>
    <font>
      <sz val="8"/>
      <name val="Arial"/>
      <family val="2"/>
      <charset val="204"/>
    </font>
    <font>
      <sz val="9"/>
      <name val="Arial"/>
      <family val="2"/>
      <charset val="204"/>
    </font>
    <font>
      <sz val="8"/>
      <color rgb="FFFF0000"/>
      <name val="Arial"/>
      <family val="2"/>
      <charset val="204"/>
    </font>
    <font>
      <b/>
      <sz val="11"/>
      <color theme="1"/>
      <name val="Arial"/>
      <family val="2"/>
      <charset val="204"/>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b/>
      <sz val="10"/>
      <name val="Arial"/>
      <family val="2"/>
      <charset val="204"/>
    </font>
    <font>
      <b/>
      <sz val="22"/>
      <color theme="1"/>
      <name val="Calibri"/>
      <family val="2"/>
      <charset val="204"/>
      <scheme val="minor"/>
    </font>
    <font>
      <sz val="10"/>
      <color theme="0" tint="-0.499984740745262"/>
      <name val="Arial"/>
      <family val="2"/>
      <charset val="204"/>
    </font>
    <font>
      <sz val="16"/>
      <color theme="1" tint="0.499984740745262"/>
      <name val="Calibri"/>
      <family val="2"/>
      <charset val="204"/>
      <scheme val="minor"/>
    </font>
    <font>
      <sz val="9"/>
      <color theme="1"/>
      <name val="Arial"/>
      <family val="2"/>
      <charset val="204"/>
    </font>
    <font>
      <b/>
      <sz val="11"/>
      <color theme="5"/>
      <name val="Calibri"/>
      <family val="2"/>
      <charset val="204"/>
      <scheme val="minor"/>
    </font>
    <font>
      <sz val="11"/>
      <name val="Calibri"/>
      <family val="2"/>
      <charset val="204"/>
      <scheme val="minor"/>
    </font>
    <font>
      <sz val="10"/>
      <color theme="1"/>
      <name val="Arial"/>
      <family val="2"/>
      <charset val="204"/>
    </font>
    <font>
      <b/>
      <i/>
      <u/>
      <sz val="11"/>
      <color theme="1"/>
      <name val="Arial"/>
      <family val="2"/>
      <charset val="204"/>
    </font>
    <font>
      <b/>
      <sz val="10"/>
      <color theme="1"/>
      <name val="Arial"/>
      <family val="2"/>
      <charset val="204"/>
    </font>
    <font>
      <sz val="11"/>
      <color rgb="FF000000"/>
      <name val="Calibri"/>
      <family val="2"/>
      <charset val="204"/>
      <scheme val="minor"/>
    </font>
    <font>
      <b/>
      <sz val="11"/>
      <color rgb="FF000000"/>
      <name val="Calibri"/>
      <family val="2"/>
      <charset val="204"/>
      <scheme val="minor"/>
    </font>
    <font>
      <sz val="9"/>
      <color indexed="81"/>
      <name val="Tahoma"/>
      <family val="2"/>
      <charset val="204"/>
    </font>
    <font>
      <b/>
      <sz val="9"/>
      <color indexed="81"/>
      <name val="Tahoma"/>
      <family val="2"/>
      <charset val="204"/>
    </font>
    <font>
      <b/>
      <sz val="10"/>
      <color rgb="FFFF0000"/>
      <name val="Arial"/>
      <family val="2"/>
      <charset val="204"/>
    </font>
    <font>
      <sz val="10"/>
      <color indexed="8"/>
      <name val="Arial"/>
      <family val="2"/>
      <charset val="204"/>
    </font>
    <font>
      <sz val="18"/>
      <color theme="1" tint="0.499984740745262"/>
      <name val="Calibri"/>
      <family val="2"/>
      <charset val="204"/>
      <scheme val="minor"/>
    </font>
    <font>
      <u/>
      <sz val="11"/>
      <color theme="10"/>
      <name val="Calibri"/>
      <family val="2"/>
      <charset val="204"/>
      <scheme val="minor"/>
    </font>
    <font>
      <sz val="16"/>
      <color theme="0" tint="-0.499984740745262"/>
      <name val="Calibri"/>
      <family val="2"/>
      <charset val="204"/>
      <scheme val="minor"/>
    </font>
  </fonts>
  <fills count="19">
    <fill>
      <patternFill patternType="none"/>
    </fill>
    <fill>
      <patternFill patternType="gray125"/>
    </fill>
    <fill>
      <patternFill patternType="solid">
        <fgColor indexed="43"/>
        <bgColor indexed="64"/>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9" tint="0.39997558519241921"/>
        <bgColor indexed="64"/>
      </patternFill>
    </fill>
    <fill>
      <patternFill patternType="solid">
        <fgColor theme="9" tint="0.79998168889431442"/>
        <bgColor theme="9" tint="0.59999389629810485"/>
      </patternFill>
    </fill>
    <fill>
      <patternFill patternType="solid">
        <fgColor theme="9" tint="0.59999389629810485"/>
        <bgColor theme="9" tint="0.79998168889431442"/>
      </patternFill>
    </fill>
    <fill>
      <patternFill patternType="solid">
        <fgColor theme="0" tint="-0.499984740745262"/>
        <bgColor indexed="64"/>
      </patternFill>
    </fill>
    <fill>
      <patternFill patternType="solid">
        <fgColor theme="0"/>
        <bgColor theme="9" tint="0.79998168889431442"/>
      </patternFill>
    </fill>
    <fill>
      <patternFill patternType="solid">
        <fgColor theme="3"/>
        <bgColor indexed="64"/>
      </patternFill>
    </fill>
    <fill>
      <patternFill patternType="solid">
        <fgColor theme="0"/>
        <bgColor indexed="64"/>
      </patternFill>
    </fill>
    <fill>
      <patternFill patternType="solid">
        <fgColor theme="1" tint="0.499984740745262"/>
        <bgColor indexed="64"/>
      </patternFill>
    </fill>
    <fill>
      <patternFill patternType="solid">
        <fgColor theme="9" tint="0.39997558519241921"/>
        <bgColor theme="9" tint="0.59999389629810485"/>
      </patternFill>
    </fill>
    <fill>
      <patternFill patternType="solid">
        <fgColor rgb="FF25497D"/>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bgColor theme="9" tint="0.59999389629810485"/>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tint="-0.499984740745262"/>
      </bottom>
      <diagonal/>
    </border>
    <border>
      <left style="thick">
        <color theme="0"/>
      </left>
      <right/>
      <top style="thick">
        <color theme="0"/>
      </top>
      <bottom/>
      <diagonal/>
    </border>
    <border>
      <left/>
      <right/>
      <top style="thick">
        <color theme="0"/>
      </top>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right style="thick">
        <color rgb="FFFFFFFF"/>
      </right>
      <top/>
      <bottom style="thick">
        <color rgb="FFFFFFFF"/>
      </bottom>
      <diagonal/>
    </border>
    <border>
      <left style="thick">
        <color theme="0"/>
      </left>
      <right/>
      <top/>
      <bottom/>
      <diagonal/>
    </border>
    <border>
      <left style="thick">
        <color theme="0"/>
      </left>
      <right/>
      <top/>
      <bottom style="thick">
        <color theme="0"/>
      </bottom>
      <diagonal/>
    </border>
    <border>
      <left/>
      <right style="thick">
        <color theme="0"/>
      </right>
      <top/>
      <bottom/>
      <diagonal/>
    </border>
    <border>
      <left/>
      <right style="thick">
        <color theme="0"/>
      </right>
      <top/>
      <bottom style="thick">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1" fillId="2" borderId="1" applyFont="0" applyFill="0" applyAlignment="0">
      <alignment horizontal="center" vertical="center" wrapText="1"/>
    </xf>
    <xf numFmtId="0" fontId="2" fillId="0" borderId="0"/>
    <xf numFmtId="9" fontId="2" fillId="0" borderId="0" applyFont="0" applyFill="0" applyBorder="0" applyAlignment="0" applyProtection="0"/>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1" fillId="17" borderId="21">
      <alignment vertical="center" wrapText="1"/>
    </xf>
    <xf numFmtId="0" fontId="33" fillId="0" borderId="0" applyNumberFormat="0" applyFill="0" applyBorder="0" applyAlignment="0" applyProtection="0"/>
  </cellStyleXfs>
  <cellXfs count="164">
    <xf numFmtId="0" fontId="0" fillId="0" borderId="0" xfId="0"/>
    <xf numFmtId="49" fontId="7" fillId="5" borderId="2" xfId="0" applyNumberFormat="1" applyFont="1" applyFill="1" applyBorder="1" applyAlignment="1">
      <alignment horizontal="center" vertical="center"/>
    </xf>
    <xf numFmtId="49" fontId="7" fillId="5" borderId="4" xfId="0" applyNumberFormat="1" applyFont="1" applyFill="1" applyBorder="1" applyAlignment="1">
      <alignment horizontal="center" vertical="center"/>
    </xf>
    <xf numFmtId="49" fontId="7" fillId="5" borderId="5" xfId="0" applyNumberFormat="1" applyFont="1" applyFill="1" applyBorder="1" applyAlignment="1">
      <alignment horizontal="center" vertical="center"/>
    </xf>
    <xf numFmtId="0" fontId="4" fillId="0" borderId="0" xfId="0" applyFont="1"/>
    <xf numFmtId="3" fontId="5" fillId="3" borderId="2"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9" fillId="3"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0" fillId="0" borderId="2" xfId="0" applyBorder="1"/>
    <xf numFmtId="3" fontId="5" fillId="6" borderId="2" xfId="0" applyNumberFormat="1" applyFont="1" applyFill="1" applyBorder="1" applyAlignment="1">
      <alignment horizontal="center" vertical="center"/>
    </xf>
    <xf numFmtId="0" fontId="12" fillId="0" borderId="0" xfId="0" applyFont="1"/>
    <xf numFmtId="3" fontId="5" fillId="7" borderId="5" xfId="0" applyNumberFormat="1" applyFont="1" applyFill="1" applyBorder="1" applyAlignment="1">
      <alignment horizontal="center" vertical="center"/>
    </xf>
    <xf numFmtId="0" fontId="14" fillId="0" borderId="0" xfId="0" applyFont="1"/>
    <xf numFmtId="0" fontId="16" fillId="3" borderId="2" xfId="0" applyFont="1" applyFill="1" applyBorder="1" applyAlignment="1">
      <alignment horizontal="left" vertical="center" wrapText="1"/>
    </xf>
    <xf numFmtId="0" fontId="16" fillId="4" borderId="2" xfId="0" applyFont="1" applyFill="1" applyBorder="1" applyAlignment="1">
      <alignment horizontal="left" vertical="center" wrapText="1" indent="4"/>
    </xf>
    <xf numFmtId="0" fontId="16" fillId="3" borderId="2" xfId="0" applyFont="1" applyFill="1" applyBorder="1" applyAlignment="1">
      <alignment horizontal="left" vertical="center" wrapText="1" indent="4"/>
    </xf>
    <xf numFmtId="0" fontId="0" fillId="8" borderId="0" xfId="0" applyFill="1"/>
    <xf numFmtId="0" fontId="13" fillId="8" borderId="0" xfId="0" applyFont="1" applyFill="1"/>
    <xf numFmtId="0" fontId="0" fillId="10" borderId="0" xfId="0" applyFill="1"/>
    <xf numFmtId="0" fontId="13" fillId="10" borderId="0" xfId="0" applyFont="1" applyFill="1"/>
    <xf numFmtId="0" fontId="14" fillId="10" borderId="0" xfId="0" applyFont="1" applyFill="1"/>
    <xf numFmtId="0" fontId="9" fillId="4" borderId="8" xfId="0" applyFont="1" applyFill="1" applyBorder="1" applyAlignment="1">
      <alignment horizontal="left" vertical="center" wrapText="1"/>
    </xf>
    <xf numFmtId="3" fontId="5" fillId="4" borderId="8" xfId="0" applyNumberFormat="1" applyFont="1" applyFill="1" applyBorder="1" applyAlignment="1">
      <alignment horizontal="center" vertical="center"/>
    </xf>
    <xf numFmtId="0" fontId="9" fillId="3" borderId="10" xfId="0" applyFont="1" applyFill="1" applyBorder="1" applyAlignment="1">
      <alignment horizontal="left" vertical="center" wrapText="1"/>
    </xf>
    <xf numFmtId="3" fontId="5" fillId="3" borderId="10" xfId="0" applyNumberFormat="1" applyFont="1" applyFill="1" applyBorder="1" applyAlignment="1">
      <alignment horizontal="center" vertical="center"/>
    </xf>
    <xf numFmtId="0" fontId="17" fillId="0" borderId="0" xfId="0" applyFont="1"/>
    <xf numFmtId="0" fontId="16" fillId="4" borderId="2"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4" borderId="8" xfId="0" applyFont="1" applyFill="1" applyBorder="1" applyAlignment="1">
      <alignment horizontal="left" vertical="center" wrapText="1" indent="4"/>
    </xf>
    <xf numFmtId="0" fontId="15" fillId="10" borderId="0" xfId="0" applyFont="1" applyFill="1"/>
    <xf numFmtId="0" fontId="16" fillId="5" borderId="7" xfId="0" applyFont="1" applyFill="1" applyBorder="1" applyAlignment="1">
      <alignment horizontal="center" vertical="center"/>
    </xf>
    <xf numFmtId="0" fontId="16" fillId="5" borderId="7"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7" fillId="0" borderId="9" xfId="0" applyFont="1" applyBorder="1"/>
    <xf numFmtId="0" fontId="19" fillId="0" borderId="9" xfId="0" applyFont="1" applyBorder="1"/>
    <xf numFmtId="0" fontId="0" fillId="0" borderId="0" xfId="0" applyProtection="1">
      <protection locked="0" hidden="1"/>
    </xf>
    <xf numFmtId="0" fontId="16" fillId="9" borderId="2" xfId="0" applyFont="1" applyFill="1" applyBorder="1" applyAlignment="1">
      <alignment horizontal="left" vertical="center" wrapText="1"/>
    </xf>
    <xf numFmtId="49" fontId="7" fillId="11" borderId="2" xfId="0" applyNumberFormat="1" applyFont="1" applyFill="1" applyBorder="1" applyAlignment="1">
      <alignment horizontal="center" vertical="center" wrapText="1"/>
    </xf>
    <xf numFmtId="0" fontId="15" fillId="10" borderId="0" xfId="0" applyFont="1" applyFill="1" applyAlignment="1">
      <alignment horizontal="center"/>
    </xf>
    <xf numFmtId="3" fontId="16" fillId="9" borderId="3" xfId="0" applyNumberFormat="1" applyFont="1" applyFill="1" applyBorder="1" applyAlignment="1" applyProtection="1">
      <alignment vertical="center" wrapText="1"/>
      <protection hidden="1"/>
    </xf>
    <xf numFmtId="3" fontId="16" fillId="9" borderId="4" xfId="0" applyNumberFormat="1" applyFont="1" applyFill="1" applyBorder="1" applyAlignment="1" applyProtection="1">
      <alignment vertical="center" wrapText="1"/>
      <protection hidden="1"/>
    </xf>
    <xf numFmtId="3" fontId="16" fillId="9" borderId="5" xfId="0" applyNumberFormat="1" applyFont="1" applyFill="1" applyBorder="1" applyAlignment="1" applyProtection="1">
      <alignment horizontal="center" vertical="center" wrapText="1"/>
      <protection hidden="1"/>
    </xf>
    <xf numFmtId="3" fontId="18" fillId="9" borderId="5" xfId="0" applyNumberFormat="1" applyFont="1" applyFill="1" applyBorder="1" applyAlignment="1" applyProtection="1">
      <alignment horizontal="center" vertical="center" wrapText="1"/>
      <protection hidden="1"/>
    </xf>
    <xf numFmtId="0" fontId="0" fillId="0" borderId="0" xfId="0" applyProtection="1">
      <protection locked="0"/>
    </xf>
    <xf numFmtId="0" fontId="0" fillId="12" borderId="0" xfId="0" applyFill="1"/>
    <xf numFmtId="0" fontId="13" fillId="12" borderId="0" xfId="0" applyFont="1" applyFill="1"/>
    <xf numFmtId="0" fontId="15" fillId="12" borderId="0" xfId="0" applyFont="1" applyFill="1"/>
    <xf numFmtId="164" fontId="5" fillId="3" borderId="2"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0" fontId="9" fillId="6" borderId="2" xfId="0" applyFont="1" applyFill="1" applyBorder="1" applyAlignment="1">
      <alignment horizontal="left" vertical="center" wrapText="1"/>
    </xf>
    <xf numFmtId="0" fontId="9" fillId="7" borderId="2" xfId="0" applyFont="1" applyFill="1" applyBorder="1" applyAlignment="1">
      <alignment horizontal="left" vertical="center" wrapText="1"/>
    </xf>
    <xf numFmtId="3" fontId="16" fillId="9" borderId="4" xfId="0" applyNumberFormat="1" applyFont="1" applyFill="1" applyBorder="1" applyAlignment="1" applyProtection="1">
      <alignment horizontal="center" vertical="center" wrapText="1"/>
      <protection hidden="1"/>
    </xf>
    <xf numFmtId="3" fontId="5" fillId="7" borderId="2" xfId="0" applyNumberFormat="1" applyFont="1" applyFill="1" applyBorder="1" applyAlignment="1">
      <alignment horizontal="center" vertical="center"/>
    </xf>
    <xf numFmtId="0" fontId="13" fillId="14" borderId="0" xfId="0" applyFont="1" applyFill="1"/>
    <xf numFmtId="0" fontId="15" fillId="14" borderId="0" xfId="0" applyFont="1" applyFill="1"/>
    <xf numFmtId="0" fontId="22" fillId="0" borderId="0" xfId="0" applyFont="1"/>
    <xf numFmtId="0" fontId="22" fillId="0" borderId="0" xfId="0" applyFont="1" applyProtection="1">
      <protection locked="0" hidden="1"/>
    </xf>
    <xf numFmtId="0" fontId="25" fillId="15" borderId="14" xfId="0" applyFont="1" applyFill="1" applyBorder="1" applyAlignment="1">
      <alignment vertical="center" wrapText="1"/>
    </xf>
    <xf numFmtId="3" fontId="23" fillId="15" borderId="13" xfId="0" applyNumberFormat="1" applyFont="1" applyFill="1" applyBorder="1" applyAlignment="1">
      <alignment horizontal="center" vertical="center"/>
    </xf>
    <xf numFmtId="0" fontId="23" fillId="15" borderId="13" xfId="0" applyFont="1" applyFill="1" applyBorder="1" applyAlignment="1">
      <alignment horizontal="center" vertical="center"/>
    </xf>
    <xf numFmtId="3" fontId="23" fillId="16" borderId="15" xfId="0" applyNumberFormat="1" applyFont="1" applyFill="1" applyBorder="1" applyAlignment="1">
      <alignment horizontal="center" vertical="center"/>
    </xf>
    <xf numFmtId="3" fontId="23" fillId="15" borderId="15" xfId="0" applyNumberFormat="1" applyFont="1" applyFill="1" applyBorder="1" applyAlignment="1">
      <alignment horizontal="center" vertical="center"/>
    </xf>
    <xf numFmtId="0" fontId="23" fillId="15" borderId="15" xfId="0" applyFont="1" applyFill="1" applyBorder="1" applyAlignment="1">
      <alignment horizontal="center" vertical="center"/>
    </xf>
    <xf numFmtId="0" fontId="19" fillId="0" borderId="0" xfId="0" applyFont="1"/>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26" fillId="0" borderId="0" xfId="0" applyFont="1"/>
    <xf numFmtId="1" fontId="0" fillId="0" borderId="0" xfId="0" applyNumberFormat="1"/>
    <xf numFmtId="165" fontId="0" fillId="0" borderId="0" xfId="0" applyNumberFormat="1"/>
    <xf numFmtId="2" fontId="0" fillId="0" borderId="0" xfId="0" applyNumberFormat="1"/>
    <xf numFmtId="0" fontId="0" fillId="0" borderId="20" xfId="0" applyBorder="1"/>
    <xf numFmtId="0" fontId="0" fillId="0" borderId="20" xfId="0" applyBorder="1" applyProtection="1">
      <protection locked="0" hidden="1"/>
    </xf>
    <xf numFmtId="3" fontId="30" fillId="9" borderId="4" xfId="0" applyNumberFormat="1" applyFont="1" applyFill="1" applyBorder="1" applyAlignment="1" applyProtection="1">
      <alignment vertical="center" wrapText="1"/>
      <protection hidden="1"/>
    </xf>
    <xf numFmtId="0" fontId="11" fillId="3" borderId="2" xfId="0" applyFont="1" applyFill="1" applyBorder="1" applyAlignment="1">
      <alignment horizontal="left" vertical="center" wrapText="1"/>
    </xf>
    <xf numFmtId="0" fontId="0" fillId="0" borderId="20" xfId="0" applyBorder="1" applyAlignment="1">
      <alignment wrapText="1"/>
    </xf>
    <xf numFmtId="3" fontId="0" fillId="0" borderId="0" xfId="0" applyNumberFormat="1"/>
    <xf numFmtId="0" fontId="0" fillId="0" borderId="23" xfId="0" applyBorder="1"/>
    <xf numFmtId="0" fontId="17" fillId="0" borderId="23" xfId="0" applyFont="1" applyBorder="1"/>
    <xf numFmtId="0" fontId="19" fillId="0" borderId="23" xfId="0" applyFont="1" applyBorder="1" applyAlignment="1">
      <alignment vertical="center"/>
    </xf>
    <xf numFmtId="0" fontId="19" fillId="0" borderId="9" xfId="0" applyFont="1" applyBorder="1" applyAlignment="1">
      <alignment vertical="center"/>
    </xf>
    <xf numFmtId="0" fontId="32" fillId="0" borderId="9" xfId="0" applyFont="1" applyBorder="1" applyAlignment="1">
      <alignment vertical="center"/>
    </xf>
    <xf numFmtId="0" fontId="0" fillId="0" borderId="22" xfId="0" applyBorder="1"/>
    <xf numFmtId="0" fontId="17"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0" xfId="0" applyAlignment="1">
      <alignment vertical="center"/>
    </xf>
    <xf numFmtId="0" fontId="0" fillId="0" borderId="25" xfId="0" applyBorder="1"/>
    <xf numFmtId="0" fontId="19" fillId="0" borderId="24" xfId="0" applyFont="1" applyBorder="1" applyAlignment="1">
      <alignment horizontal="center" vertical="center"/>
    </xf>
    <xf numFmtId="0" fontId="19" fillId="0" borderId="24" xfId="0" applyFont="1" applyBorder="1" applyAlignment="1">
      <alignment vertical="center"/>
    </xf>
    <xf numFmtId="3" fontId="5" fillId="4" borderId="3"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4" borderId="5" xfId="0" applyNumberFormat="1" applyFont="1" applyFill="1" applyBorder="1" applyAlignment="1">
      <alignment horizontal="center" vertical="center"/>
    </xf>
    <xf numFmtId="3" fontId="5" fillId="7" borderId="3"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5" fillId="7" borderId="5" xfId="0" applyNumberFormat="1" applyFont="1" applyFill="1" applyBorder="1" applyAlignment="1">
      <alignment horizontal="center" vertical="center"/>
    </xf>
    <xf numFmtId="0" fontId="22" fillId="10" borderId="0" xfId="0" applyFont="1" applyFill="1"/>
    <xf numFmtId="0" fontId="16" fillId="18" borderId="0" xfId="0" applyFont="1" applyFill="1" applyAlignment="1">
      <alignment horizontal="left" vertical="center" wrapText="1"/>
    </xf>
    <xf numFmtId="0" fontId="9" fillId="18" borderId="0" xfId="0" applyFont="1" applyFill="1" applyAlignment="1">
      <alignment horizontal="left" vertical="center" wrapText="1"/>
    </xf>
    <xf numFmtId="3" fontId="5" fillId="18" borderId="0" xfId="0" applyNumberFormat="1" applyFont="1" applyFill="1" applyAlignment="1">
      <alignment horizontal="center" vertical="center"/>
    </xf>
    <xf numFmtId="0" fontId="34" fillId="0" borderId="24" xfId="7" applyFont="1" applyBorder="1" applyAlignment="1">
      <alignment vertical="center"/>
    </xf>
    <xf numFmtId="0" fontId="0" fillId="0" borderId="2" xfId="0" applyBorder="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7"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3" fontId="5" fillId="6" borderId="3" xfId="0" applyNumberFormat="1" applyFont="1" applyFill="1" applyBorder="1" applyAlignment="1">
      <alignment horizontal="center" vertical="center"/>
    </xf>
    <xf numFmtId="3" fontId="5" fillId="6" borderId="4" xfId="0" applyNumberFormat="1" applyFont="1" applyFill="1" applyBorder="1" applyAlignment="1">
      <alignment horizontal="center" vertical="center"/>
    </xf>
    <xf numFmtId="3" fontId="5" fillId="6" borderId="5" xfId="0" applyNumberFormat="1"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5" xfId="0" applyFont="1" applyFill="1" applyBorder="1" applyAlignment="1">
      <alignment horizontal="center" vertical="center" wrapText="1"/>
    </xf>
    <xf numFmtId="3" fontId="16" fillId="13" borderId="3" xfId="0" applyNumberFormat="1" applyFont="1" applyFill="1" applyBorder="1" applyAlignment="1">
      <alignment horizontal="center" vertical="center" wrapText="1"/>
    </xf>
    <xf numFmtId="3" fontId="16" fillId="13" borderId="4" xfId="0" applyNumberFormat="1" applyFont="1" applyFill="1" applyBorder="1" applyAlignment="1">
      <alignment horizontal="center" vertical="center" wrapText="1"/>
    </xf>
    <xf numFmtId="3" fontId="16" fillId="13" borderId="5"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5" fillId="4" borderId="5"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5" fillId="3" borderId="5" xfId="0" applyNumberFormat="1" applyFont="1" applyFill="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3" fontId="18" fillId="9" borderId="3" xfId="0" applyNumberFormat="1" applyFont="1" applyFill="1" applyBorder="1" applyAlignment="1">
      <alignment horizontal="right" vertical="center" wrapText="1"/>
    </xf>
    <xf numFmtId="3" fontId="18" fillId="9" borderId="4" xfId="0" applyNumberFormat="1" applyFont="1" applyFill="1" applyBorder="1" applyAlignment="1">
      <alignment horizontal="right" vertical="center" wrapText="1"/>
    </xf>
    <xf numFmtId="3" fontId="18" fillId="9" borderId="3" xfId="0" applyNumberFormat="1" applyFont="1" applyFill="1" applyBorder="1" applyAlignment="1" applyProtection="1">
      <alignment horizontal="right" vertical="center" wrapText="1"/>
      <protection hidden="1"/>
    </xf>
    <xf numFmtId="3" fontId="18" fillId="9" borderId="4" xfId="0" applyNumberFormat="1" applyFont="1" applyFill="1" applyBorder="1" applyAlignment="1" applyProtection="1">
      <alignment horizontal="right" vertical="center" wrapText="1"/>
      <protection hidden="1"/>
    </xf>
    <xf numFmtId="0" fontId="6" fillId="5"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xf>
    <xf numFmtId="3" fontId="16" fillId="3" borderId="4" xfId="0" applyNumberFormat="1" applyFont="1" applyFill="1" applyBorder="1" applyAlignment="1">
      <alignment horizontal="center" vertical="center"/>
    </xf>
    <xf numFmtId="3" fontId="16" fillId="3" borderId="5" xfId="0" applyNumberFormat="1" applyFont="1" applyFill="1" applyBorder="1" applyAlignment="1">
      <alignment horizontal="center" vertical="center"/>
    </xf>
    <xf numFmtId="3" fontId="5" fillId="7" borderId="11"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5" fillId="7" borderId="18" xfId="0" applyNumberFormat="1" applyFont="1" applyFill="1" applyBorder="1" applyAlignment="1">
      <alignment horizontal="center" vertical="center"/>
    </xf>
    <xf numFmtId="3" fontId="5" fillId="7" borderId="17" xfId="0" applyNumberFormat="1" applyFont="1" applyFill="1" applyBorder="1" applyAlignment="1">
      <alignment horizontal="center" vertical="center"/>
    </xf>
    <xf numFmtId="3" fontId="5" fillId="7" borderId="19" xfId="0" applyNumberFormat="1" applyFont="1" applyFill="1" applyBorder="1" applyAlignment="1">
      <alignment horizontal="center" vertical="center"/>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16" fillId="5" borderId="4" xfId="0" applyFont="1" applyFill="1" applyBorder="1" applyAlignment="1">
      <alignment horizontal="center" vertical="center" wrapText="1"/>
    </xf>
    <xf numFmtId="0" fontId="8" fillId="6" borderId="5" xfId="0" applyFont="1" applyFill="1" applyBorder="1" applyAlignment="1">
      <alignment horizontal="left" vertical="center" wrapText="1"/>
    </xf>
    <xf numFmtId="49" fontId="7" fillId="11" borderId="3" xfId="0" applyNumberFormat="1" applyFont="1" applyFill="1" applyBorder="1" applyAlignment="1">
      <alignment horizontal="center" vertical="center" wrapText="1"/>
    </xf>
    <xf numFmtId="49" fontId="7" fillId="11" borderId="5" xfId="0" applyNumberFormat="1" applyFont="1" applyFill="1" applyBorder="1" applyAlignment="1">
      <alignment horizontal="center" vertical="center" wrapText="1"/>
    </xf>
    <xf numFmtId="49" fontId="7" fillId="11" borderId="4" xfId="0" applyNumberFormat="1"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7" borderId="5" xfId="0" applyFont="1" applyFill="1" applyBorder="1" applyAlignment="1">
      <alignment horizontal="left" vertical="center"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8" fillId="9" borderId="3" xfId="0" applyFont="1" applyFill="1" applyBorder="1" applyAlignment="1">
      <alignment horizontal="left" vertical="center" wrapText="1"/>
    </xf>
    <xf numFmtId="0" fontId="8" fillId="9" borderId="4" xfId="0" applyFont="1" applyFill="1" applyBorder="1" applyAlignment="1">
      <alignment horizontal="left" vertical="center" wrapText="1"/>
    </xf>
    <xf numFmtId="0" fontId="8" fillId="9" borderId="5" xfId="0" applyFont="1" applyFill="1" applyBorder="1" applyAlignment="1">
      <alignment horizontal="left" vertical="center" wrapText="1"/>
    </xf>
    <xf numFmtId="3" fontId="5" fillId="7" borderId="3"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5" fillId="7" borderId="5" xfId="0" applyNumberFormat="1" applyFont="1" applyFill="1" applyBorder="1" applyAlignment="1">
      <alignment horizontal="center" vertical="center"/>
    </xf>
    <xf numFmtId="0" fontId="0" fillId="0" borderId="0" xfId="0" applyAlignment="1">
      <alignment horizontal="center" wrapText="1"/>
    </xf>
  </cellXfs>
  <cellStyles count="8">
    <cellStyle name="Style 1" xfId="6"/>
    <cellStyle name="Гиперссылка" xfId="7" builtinId="8"/>
    <cellStyle name="Гиперссылка 2" xfId="4"/>
    <cellStyle name="Гиперссылка 3" xfId="5"/>
    <cellStyle name="Обычный" xfId="0" builtinId="0"/>
    <cellStyle name="Обычный 2" xfId="2"/>
    <cellStyle name="Процентный 2" xfId="3"/>
    <cellStyle name="Стиль 1" xfId="1"/>
  </cellStyles>
  <dxfs count="34">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
      <fill>
        <patternFill>
          <bgColor rgb="FFA50021"/>
        </patternFill>
      </fill>
    </dxf>
  </dxfs>
  <tableStyles count="2" defaultTableStyle="TableStyleMedium2" defaultPivotStyle="PivotStyleLight16">
    <tableStyle name="Стиль сводной таблицы 1" table="0" count="0"/>
    <tableStyle name="Стиль таблицы 1" pivot="0" count="0"/>
  </tableStyles>
  <colors>
    <mruColors>
      <color rgb="FF16365C"/>
      <color rgb="FF33CCCC"/>
      <color rgb="FFFF5050"/>
      <color rgb="FFFFCC00"/>
      <color rgb="FFA50021"/>
      <color rgb="FFFFCCCC"/>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REF!" lockText="1"/>
</file>

<file path=xl/ctrlProps/ctrlProp10.xml><?xml version="1.0" encoding="utf-8"?>
<formControlPr xmlns="http://schemas.microsoft.com/office/spreadsheetml/2009/9/main" objectType="CheckBox" fmlaLink="$O$7" lockText="1"/>
</file>

<file path=xl/ctrlProps/ctrlProp11.xml><?xml version="1.0" encoding="utf-8"?>
<formControlPr xmlns="http://schemas.microsoft.com/office/spreadsheetml/2009/9/main" objectType="CheckBox" fmlaLink="$Q$7" lockText="1"/>
</file>

<file path=xl/ctrlProps/ctrlProp12.xml><?xml version="1.0" encoding="utf-8"?>
<formControlPr xmlns="http://schemas.microsoft.com/office/spreadsheetml/2009/9/main" objectType="CheckBox" fmlaLink="$O$22" lockText="1"/>
</file>

<file path=xl/ctrlProps/ctrlProp13.xml><?xml version="1.0" encoding="utf-8"?>
<formControlPr xmlns="http://schemas.microsoft.com/office/spreadsheetml/2009/9/main" objectType="CheckBox" fmlaLink="$Q$22" lockText="1"/>
</file>

<file path=xl/ctrlProps/ctrlProp14.xml><?xml version="1.0" encoding="utf-8"?>
<formControlPr xmlns="http://schemas.microsoft.com/office/spreadsheetml/2009/9/main" objectType="CheckBox" fmlaLink="$O$13" lockText="1"/>
</file>

<file path=xl/ctrlProps/ctrlProp15.xml><?xml version="1.0" encoding="utf-8"?>
<formControlPr xmlns="http://schemas.microsoft.com/office/spreadsheetml/2009/9/main" objectType="CheckBox" fmlaLink="$O$14" lockText="1"/>
</file>

<file path=xl/ctrlProps/ctrlProp16.xml><?xml version="1.0" encoding="utf-8"?>
<formControlPr xmlns="http://schemas.microsoft.com/office/spreadsheetml/2009/9/main" objectType="CheckBox" fmlaLink="$O$9" lockText="1"/>
</file>

<file path=xl/ctrlProps/ctrlProp17.xml><?xml version="1.0" encoding="utf-8"?>
<formControlPr xmlns="http://schemas.microsoft.com/office/spreadsheetml/2009/9/main" objectType="CheckBox" fmlaLink="$O$10" lockText="1"/>
</file>

<file path=xl/ctrlProps/ctrlProp18.xml><?xml version="1.0" encoding="utf-8"?>
<formControlPr xmlns="http://schemas.microsoft.com/office/spreadsheetml/2009/9/main" objectType="CheckBox" fmlaLink="$O$9" lockText="1"/>
</file>

<file path=xl/ctrlProps/ctrlProp19.xml><?xml version="1.0" encoding="utf-8"?>
<formControlPr xmlns="http://schemas.microsoft.com/office/spreadsheetml/2009/9/main" objectType="CheckBox" fmlaLink="$Q$9" lockText="1"/>
</file>

<file path=xl/ctrlProps/ctrlProp2.xml><?xml version="1.0" encoding="utf-8"?>
<formControlPr xmlns="http://schemas.microsoft.com/office/spreadsheetml/2009/9/main" objectType="CheckBox" fmlaLink="$O$6" lockText="1"/>
</file>

<file path=xl/ctrlProps/ctrlProp20.xml><?xml version="1.0" encoding="utf-8"?>
<formControlPr xmlns="http://schemas.microsoft.com/office/spreadsheetml/2009/9/main" objectType="CheckBox" fmlaLink="$O$14" lockText="1"/>
</file>

<file path=xl/ctrlProps/ctrlProp21.xml><?xml version="1.0" encoding="utf-8"?>
<formControlPr xmlns="http://schemas.microsoft.com/office/spreadsheetml/2009/9/main" objectType="CheckBox" fmlaLink="$Q$14" lockText="1"/>
</file>

<file path=xl/ctrlProps/ctrlProp22.xml><?xml version="1.0" encoding="utf-8"?>
<formControlPr xmlns="http://schemas.microsoft.com/office/spreadsheetml/2009/9/main" objectType="CheckBox" fmlaLink="$Q$11" lockText="1"/>
</file>

<file path=xl/ctrlProps/ctrlProp23.xml><?xml version="1.0" encoding="utf-8"?>
<formControlPr xmlns="http://schemas.microsoft.com/office/spreadsheetml/2009/9/main" objectType="CheckBox" fmlaLink="$Q$12" lockText="1"/>
</file>

<file path=xl/ctrlProps/ctrlProp24.xml><?xml version="1.0" encoding="utf-8"?>
<formControlPr xmlns="http://schemas.microsoft.com/office/spreadsheetml/2009/9/main" objectType="CheckBox" fmlaLink="$Q$14" lockText="1"/>
</file>

<file path=xl/ctrlProps/ctrlProp25.xml><?xml version="1.0" encoding="utf-8"?>
<formControlPr xmlns="http://schemas.microsoft.com/office/spreadsheetml/2009/9/main" objectType="CheckBox" fmlaLink="$Q$15" lockText="1"/>
</file>

<file path=xl/ctrlProps/ctrlProp26.xml><?xml version="1.0" encoding="utf-8"?>
<formControlPr xmlns="http://schemas.microsoft.com/office/spreadsheetml/2009/9/main" objectType="CheckBox" fmlaLink="$Q$8" lockText="1"/>
</file>

<file path=xl/ctrlProps/ctrlProp27.xml><?xml version="1.0" encoding="utf-8"?>
<formControlPr xmlns="http://schemas.microsoft.com/office/spreadsheetml/2009/9/main" objectType="CheckBox" fmlaLink="$Q$13" lockText="1"/>
</file>

<file path=xl/ctrlProps/ctrlProp28.xml><?xml version="1.0" encoding="utf-8"?>
<formControlPr xmlns="http://schemas.microsoft.com/office/spreadsheetml/2009/9/main" objectType="CheckBox" fmlaLink="$U$8" lockText="1"/>
</file>

<file path=xl/ctrlProps/ctrlProp29.xml><?xml version="1.0" encoding="utf-8"?>
<formControlPr xmlns="http://schemas.microsoft.com/office/spreadsheetml/2009/9/main" objectType="CheckBox" fmlaLink="$Q$27" lockText="1"/>
</file>

<file path=xl/ctrlProps/ctrlProp3.xml><?xml version="1.0" encoding="utf-8"?>
<formControlPr xmlns="http://schemas.microsoft.com/office/spreadsheetml/2009/9/main" objectType="CheckBox" fmlaLink="$Q$6" lockText="1"/>
</file>

<file path=xl/ctrlProps/ctrlProp30.xml><?xml version="1.0" encoding="utf-8"?>
<formControlPr xmlns="http://schemas.microsoft.com/office/spreadsheetml/2009/9/main" objectType="CheckBox" fmlaLink="$U$27" lockText="1"/>
</file>

<file path=xl/ctrlProps/ctrlProp31.xml><?xml version="1.0" encoding="utf-8"?>
<formControlPr xmlns="http://schemas.microsoft.com/office/spreadsheetml/2009/9/main" objectType="CheckBox" fmlaLink="$Q$11" lockText="1"/>
</file>

<file path=xl/ctrlProps/ctrlProp32.xml><?xml version="1.0" encoding="utf-8"?>
<formControlPr xmlns="http://schemas.microsoft.com/office/spreadsheetml/2009/9/main" objectType="CheckBox" fmlaLink="$Q$12" lockText="1"/>
</file>

<file path=xl/ctrlProps/ctrlProp33.xml><?xml version="1.0" encoding="utf-8"?>
<formControlPr xmlns="http://schemas.microsoft.com/office/spreadsheetml/2009/9/main" objectType="CheckBox" fmlaLink="$Q$14" lockText="1"/>
</file>

<file path=xl/ctrlProps/ctrlProp34.xml><?xml version="1.0" encoding="utf-8"?>
<formControlPr xmlns="http://schemas.microsoft.com/office/spreadsheetml/2009/9/main" objectType="CheckBox" fmlaLink="$Q$15" lockText="1"/>
</file>

<file path=xl/ctrlProps/ctrlProp35.xml><?xml version="1.0" encoding="utf-8"?>
<formControlPr xmlns="http://schemas.microsoft.com/office/spreadsheetml/2009/9/main" objectType="CheckBox" fmlaLink="$Q$8" lockText="1"/>
</file>

<file path=xl/ctrlProps/ctrlProp36.xml><?xml version="1.0" encoding="utf-8"?>
<formControlPr xmlns="http://schemas.microsoft.com/office/spreadsheetml/2009/9/main" objectType="CheckBox" fmlaLink="$Q$13" lockText="1"/>
</file>

<file path=xl/ctrlProps/ctrlProp37.xml><?xml version="1.0" encoding="utf-8"?>
<formControlPr xmlns="http://schemas.microsoft.com/office/spreadsheetml/2009/9/main" objectType="CheckBox" fmlaLink="$U$8" lockText="1"/>
</file>

<file path=xl/ctrlProps/ctrlProp38.xml><?xml version="1.0" encoding="utf-8"?>
<formControlPr xmlns="http://schemas.microsoft.com/office/spreadsheetml/2009/9/main" objectType="CheckBox" fmlaLink="$Q$26" lockText="1"/>
</file>

<file path=xl/ctrlProps/ctrlProp39.xml><?xml version="1.0" encoding="utf-8"?>
<formControlPr xmlns="http://schemas.microsoft.com/office/spreadsheetml/2009/9/main" objectType="CheckBox" fmlaLink="$U$26" lockText="1"/>
</file>

<file path=xl/ctrlProps/ctrlProp4.xml><?xml version="1.0" encoding="utf-8"?>
<formControlPr xmlns="http://schemas.microsoft.com/office/spreadsheetml/2009/9/main" objectType="CheckBox" fmlaLink="$Q$7" lockText="1"/>
</file>

<file path=xl/ctrlProps/ctrlProp40.xml><?xml version="1.0" encoding="utf-8"?>
<formControlPr xmlns="http://schemas.microsoft.com/office/spreadsheetml/2009/9/main" objectType="CheckBox" fmlaLink="$O$7" lockText="1"/>
</file>

<file path=xl/ctrlProps/ctrlProp41.xml><?xml version="1.0" encoding="utf-8"?>
<formControlPr xmlns="http://schemas.microsoft.com/office/spreadsheetml/2009/9/main" objectType="CheckBox" fmlaLink="$Q$7" lockText="1"/>
</file>

<file path=xl/ctrlProps/ctrlProp42.xml><?xml version="1.0" encoding="utf-8"?>
<formControlPr xmlns="http://schemas.microsoft.com/office/spreadsheetml/2009/9/main" objectType="CheckBox" fmlaLink="$O$18" lockText="1"/>
</file>

<file path=xl/ctrlProps/ctrlProp43.xml><?xml version="1.0" encoding="utf-8"?>
<formControlPr xmlns="http://schemas.microsoft.com/office/spreadsheetml/2009/9/main" objectType="CheckBox" fmlaLink="$Q$18" lockText="1"/>
</file>

<file path=xl/ctrlProps/ctrlProp44.xml><?xml version="1.0" encoding="utf-8"?>
<formControlPr xmlns="http://schemas.microsoft.com/office/spreadsheetml/2009/9/main" objectType="CheckBox" fmlaLink="$I$7" lockText="1"/>
</file>

<file path=xl/ctrlProps/ctrlProp45.xml><?xml version="1.0" encoding="utf-8"?>
<formControlPr xmlns="http://schemas.microsoft.com/office/spreadsheetml/2009/9/main" objectType="CheckBox" fmlaLink="$K$7" lockText="1"/>
</file>

<file path=xl/ctrlProps/ctrlProp46.xml><?xml version="1.0" encoding="utf-8"?>
<formControlPr xmlns="http://schemas.microsoft.com/office/spreadsheetml/2009/9/main" objectType="CheckBox" fmlaLink="$O$7" lockText="1"/>
</file>

<file path=xl/ctrlProps/ctrlProp47.xml><?xml version="1.0" encoding="utf-8"?>
<formControlPr xmlns="http://schemas.microsoft.com/office/spreadsheetml/2009/9/main" objectType="CheckBox" fmlaLink="$Q$7" lockText="1"/>
</file>

<file path=xl/ctrlProps/ctrlProp48.xml><?xml version="1.0" encoding="utf-8"?>
<formControlPr xmlns="http://schemas.microsoft.com/office/spreadsheetml/2009/9/main" objectType="CheckBox" fmlaLink="$O$67" lockText="1"/>
</file>

<file path=xl/ctrlProps/ctrlProp49.xml><?xml version="1.0" encoding="utf-8"?>
<formControlPr xmlns="http://schemas.microsoft.com/office/spreadsheetml/2009/9/main" objectType="CheckBox" fmlaLink="$Q$67" lockText="1"/>
</file>

<file path=xl/ctrlProps/ctrlProp5.xml><?xml version="1.0" encoding="utf-8"?>
<formControlPr xmlns="http://schemas.microsoft.com/office/spreadsheetml/2009/9/main" objectType="CheckBox" fmlaLink="$O$27" lockText="1"/>
</file>

<file path=xl/ctrlProps/ctrlProp50.xml><?xml version="1.0" encoding="utf-8"?>
<formControlPr xmlns="http://schemas.microsoft.com/office/spreadsheetml/2009/9/main" objectType="CheckBox" checked="Checked" fmlaLink="$O$6" lockText="1"/>
</file>

<file path=xl/ctrlProps/ctrlProp51.xml><?xml version="1.0" encoding="utf-8"?>
<formControlPr xmlns="http://schemas.microsoft.com/office/spreadsheetml/2009/9/main" objectType="CheckBox" checked="Checked" fmlaLink="$Q$6" lockText="1"/>
</file>

<file path=xl/ctrlProps/ctrlProp6.xml><?xml version="1.0" encoding="utf-8"?>
<formControlPr xmlns="http://schemas.microsoft.com/office/spreadsheetml/2009/9/main" objectType="CheckBox" fmlaLink="$Q$27" lockText="1"/>
</file>

<file path=xl/ctrlProps/ctrlProp7.xml><?xml version="1.0" encoding="utf-8"?>
<formControlPr xmlns="http://schemas.microsoft.com/office/spreadsheetml/2009/9/main" objectType="CheckBox" fmlaLink="$Q$22" lockText="1"/>
</file>

<file path=xl/ctrlProps/ctrlProp8.xml><?xml version="1.0" encoding="utf-8"?>
<formControlPr xmlns="http://schemas.microsoft.com/office/spreadsheetml/2009/9/main" objectType="CheckBox" fmlaLink="$O$22" lockText="1"/>
</file>

<file path=xl/ctrlProps/ctrlProp9.xml><?xml version="1.0" encoding="utf-8"?>
<formControlPr xmlns="http://schemas.microsoft.com/office/spreadsheetml/2009/9/main" objectType="CheckBox" fmlaLink="$O$7" lockText="1"/>
</file>

<file path=xl/drawings/_rels/drawing1.xml.rels><?xml version="1.0" encoding="UTF-8" standalone="yes"?>
<Relationships xmlns="http://schemas.openxmlformats.org/package/2006/relationships"><Relationship Id="rId3" Type="http://schemas.openxmlformats.org/officeDocument/2006/relationships/hyperlink" Target="#'Dallas Lock 8.0-&#1050;'!A1"/><Relationship Id="rId7" Type="http://schemas.openxmlformats.org/officeDocument/2006/relationships/image" Target="../media/image2.jpg"/><Relationship Id="rId2" Type="http://schemas.openxmlformats.org/officeDocument/2006/relationships/hyperlink" Target="#'&#1057;&#1047;&#1048; &#1042;&#1048; Dallas Lock'!A1"/><Relationship Id="rId1" Type="http://schemas.openxmlformats.org/officeDocument/2006/relationships/image" Target="../media/image1.png"/><Relationship Id="rId6" Type="http://schemas.openxmlformats.org/officeDocument/2006/relationships/hyperlink" Target="#'&#1057;&#1044;&#1047; Dallas Lock'!A1"/><Relationship Id="rId5" Type="http://schemas.openxmlformats.org/officeDocument/2006/relationships/hyperlink" Target="#'Dallas Lock Linux'!A1"/><Relationship Id="rId4" Type="http://schemas.openxmlformats.org/officeDocument/2006/relationships/hyperlink" Target="#'Dallas Lock 8.0-&#1057;'!A1"/></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1051;&#1080;&#1085;&#1077;&#1081;&#1082;&#1072; Dallas Lock'!A1"/><Relationship Id="rId1" Type="http://schemas.openxmlformats.org/officeDocument/2006/relationships/image" Target="../media/image8.png"/><Relationship Id="rId5" Type="http://schemas.openxmlformats.org/officeDocument/2006/relationships/image" Target="../media/image9.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1054;&#1087;&#1080;&#1089;&#1072;&#1085;&#1080;&#1077; &#1087;&#1088;&#1086;&#1076;&#1091;&#1082;&#1090;&#1086;&#1074;'!A24"/><Relationship Id="rId2" Type="http://schemas.openxmlformats.org/officeDocument/2006/relationships/image" Target="../media/image3.png"/><Relationship Id="rId1" Type="http://schemas.openxmlformats.org/officeDocument/2006/relationships/image" Target="../media/image9.png"/><Relationship Id="rId6"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hyperlink" Target="#'&#1051;&#1080;&#1085;&#1077;&#1081;&#1082;&#1072; Dallas Lock'!A1"/></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1051;&#1080;&#1085;&#1077;&#1081;&#1082;&#1072; Dallas Lock'!A1"/></Relationships>
</file>

<file path=xl/drawings/_rels/drawing13.xml.rels><?xml version="1.0" encoding="UTF-8" standalone="yes"?>
<Relationships xmlns="http://schemas.openxmlformats.org/package/2006/relationships"><Relationship Id="rId13" Type="http://schemas.microsoft.com/office/2007/relationships/hdphoto" Target="../media/hdphoto1.wdp"/><Relationship Id="rId18" Type="http://schemas.openxmlformats.org/officeDocument/2006/relationships/image" Target="../media/image18.png"/><Relationship Id="rId26" Type="http://schemas.openxmlformats.org/officeDocument/2006/relationships/image" Target="../media/image24.png"/><Relationship Id="rId39" Type="http://schemas.microsoft.com/office/2007/relationships/hdphoto" Target="../media/hdphoto4.wdp"/><Relationship Id="rId21" Type="http://schemas.openxmlformats.org/officeDocument/2006/relationships/image" Target="../media/image21.png"/><Relationship Id="rId34" Type="http://schemas.microsoft.com/office/2007/relationships/hdphoto" Target="../media/hdphoto3.wdp"/><Relationship Id="rId42" Type="http://schemas.openxmlformats.org/officeDocument/2006/relationships/image" Target="../media/image37.png"/><Relationship Id="rId47" Type="http://schemas.openxmlformats.org/officeDocument/2006/relationships/image" Target="../media/image41.png"/><Relationship Id="rId50" Type="http://schemas.openxmlformats.org/officeDocument/2006/relationships/image" Target="../media/image44.png"/><Relationship Id="rId7" Type="http://schemas.openxmlformats.org/officeDocument/2006/relationships/hyperlink" Target="#'Dallas Lock 8.0-&#1057;'!A1"/><Relationship Id="rId2" Type="http://schemas.openxmlformats.org/officeDocument/2006/relationships/hyperlink" Target="#'WAF Dallas Lock'!A1"/><Relationship Id="rId16" Type="http://schemas.openxmlformats.org/officeDocument/2006/relationships/image" Target="../media/image16.png"/><Relationship Id="rId29" Type="http://schemas.microsoft.com/office/2007/relationships/hdphoto" Target="../media/hdphoto2.wdp"/><Relationship Id="rId11" Type="http://schemas.openxmlformats.org/officeDocument/2006/relationships/image" Target="../media/image12.png"/><Relationship Id="rId24" Type="http://schemas.openxmlformats.org/officeDocument/2006/relationships/image" Target="../media/image23.png"/><Relationship Id="rId32" Type="http://schemas.openxmlformats.org/officeDocument/2006/relationships/image" Target="../media/image29.png"/><Relationship Id="rId37" Type="http://schemas.openxmlformats.org/officeDocument/2006/relationships/image" Target="../media/image33.png"/><Relationship Id="rId40" Type="http://schemas.openxmlformats.org/officeDocument/2006/relationships/image" Target="../media/image35.png"/><Relationship Id="rId45" Type="http://schemas.microsoft.com/office/2007/relationships/hdphoto" Target="../media/hdphoto5.wdp"/><Relationship Id="rId53" Type="http://schemas.openxmlformats.org/officeDocument/2006/relationships/image" Target="../media/image46.png"/><Relationship Id="rId5" Type="http://schemas.openxmlformats.org/officeDocument/2006/relationships/hyperlink" Target="#'Dallas Lock Linux'!A1"/><Relationship Id="rId10" Type="http://schemas.openxmlformats.org/officeDocument/2006/relationships/image" Target="../media/image11.png"/><Relationship Id="rId19" Type="http://schemas.openxmlformats.org/officeDocument/2006/relationships/image" Target="../media/image19.png"/><Relationship Id="rId31" Type="http://schemas.openxmlformats.org/officeDocument/2006/relationships/image" Target="../media/image28.png"/><Relationship Id="rId44" Type="http://schemas.openxmlformats.org/officeDocument/2006/relationships/image" Target="../media/image39.png"/><Relationship Id="rId52" Type="http://schemas.microsoft.com/office/2007/relationships/hdphoto" Target="../media/hdphoto6.wdp"/><Relationship Id="rId4" Type="http://schemas.openxmlformats.org/officeDocument/2006/relationships/hyperlink" Target="#'&#1057;&#1044;&#1047; Dallas Lock'!A1"/><Relationship Id="rId9" Type="http://schemas.openxmlformats.org/officeDocument/2006/relationships/image" Target="../media/image10.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5.png"/><Relationship Id="rId30" Type="http://schemas.openxmlformats.org/officeDocument/2006/relationships/image" Target="../media/image27.png"/><Relationship Id="rId35" Type="http://schemas.openxmlformats.org/officeDocument/2006/relationships/image" Target="../media/image31.png"/><Relationship Id="rId43" Type="http://schemas.openxmlformats.org/officeDocument/2006/relationships/image" Target="../media/image38.png"/><Relationship Id="rId48" Type="http://schemas.openxmlformats.org/officeDocument/2006/relationships/image" Target="../media/image42.png"/><Relationship Id="rId8" Type="http://schemas.openxmlformats.org/officeDocument/2006/relationships/hyperlink" Target="#'&#1045;&#1062;&#1059; Dallas Lock'!A1"/><Relationship Id="rId51" Type="http://schemas.openxmlformats.org/officeDocument/2006/relationships/image" Target="../media/image45.png"/><Relationship Id="rId3" Type="http://schemas.openxmlformats.org/officeDocument/2006/relationships/image" Target="../media/image3.png"/><Relationship Id="rId12" Type="http://schemas.openxmlformats.org/officeDocument/2006/relationships/image" Target="../media/image13.png"/><Relationship Id="rId17" Type="http://schemas.openxmlformats.org/officeDocument/2006/relationships/image" Target="../media/image17.png"/><Relationship Id="rId25" Type="http://schemas.openxmlformats.org/officeDocument/2006/relationships/image" Target="../media/image25.svg"/><Relationship Id="rId33" Type="http://schemas.openxmlformats.org/officeDocument/2006/relationships/image" Target="../media/image30.png"/><Relationship Id="rId38" Type="http://schemas.openxmlformats.org/officeDocument/2006/relationships/image" Target="../media/image34.png"/><Relationship Id="rId46" Type="http://schemas.openxmlformats.org/officeDocument/2006/relationships/image" Target="../media/image40.png"/><Relationship Id="rId20" Type="http://schemas.openxmlformats.org/officeDocument/2006/relationships/image" Target="../media/image20.png"/><Relationship Id="rId41" Type="http://schemas.openxmlformats.org/officeDocument/2006/relationships/image" Target="../media/image36.png"/><Relationship Id="rId54" Type="http://schemas.openxmlformats.org/officeDocument/2006/relationships/image" Target="../media/image47.png"/><Relationship Id="rId1" Type="http://schemas.openxmlformats.org/officeDocument/2006/relationships/hyperlink" Target="#'&#1057;&#1047;&#1048; &#1042;&#1048; Dallas Lock'!A1"/><Relationship Id="rId6" Type="http://schemas.openxmlformats.org/officeDocument/2006/relationships/hyperlink" Target="#'Dallas Lock 8.0-&#1050;'!A1"/><Relationship Id="rId15" Type="http://schemas.openxmlformats.org/officeDocument/2006/relationships/image" Target="../media/image15.jpeg"/><Relationship Id="rId23" Type="http://schemas.openxmlformats.org/officeDocument/2006/relationships/image" Target="../media/image23.svg"/><Relationship Id="rId28" Type="http://schemas.openxmlformats.org/officeDocument/2006/relationships/image" Target="../media/image26.png"/><Relationship Id="rId36" Type="http://schemas.openxmlformats.org/officeDocument/2006/relationships/image" Target="../media/image32.png"/><Relationship Id="rId49" Type="http://schemas.openxmlformats.org/officeDocument/2006/relationships/image" Target="../media/image43.png"/></Relationships>
</file>

<file path=xl/drawings/_rels/drawing2.xml.rels><?xml version="1.0" encoding="UTF-8" standalone="yes"?>
<Relationships xmlns="http://schemas.openxmlformats.org/package/2006/relationships"><Relationship Id="rId3" Type="http://schemas.openxmlformats.org/officeDocument/2006/relationships/hyperlink" Target="#'&#1051;&#1080;&#1085;&#1077;&#1081;&#1082;&#1072; Dallas Lock'!A1"/><Relationship Id="rId2" Type="http://schemas.openxmlformats.org/officeDocument/2006/relationships/image" Target="../media/image3.png"/><Relationship Id="rId1" Type="http://schemas.openxmlformats.org/officeDocument/2006/relationships/hyperlink" Target="#'&#1054;&#1087;&#1080;&#1089;&#1072;&#1085;&#1080;&#1077; &#1087;&#1088;&#1086;&#1076;&#1091;&#1082;&#1090;&#1086;&#1074;'!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1054;&#1087;&#1080;&#1089;&#1072;&#1085;&#1080;&#1077; &#1087;&#1088;&#1086;&#1076;&#1091;&#1082;&#1090;&#1086;&#1074;'!A6"/><Relationship Id="rId7" Type="http://schemas.openxmlformats.org/officeDocument/2006/relationships/hyperlink" Target="#'&#1045;&#1062;&#1059; Dallas Lock'!A1"/><Relationship Id="rId2" Type="http://schemas.openxmlformats.org/officeDocument/2006/relationships/image" Target="../media/image3.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hyperlink" Target="#'&#1051;&#1080;&#1085;&#1077;&#1081;&#1082;&#1072; Dallas Lock'!A1"/></Relationships>
</file>

<file path=xl/drawings/_rels/drawing4.xml.rels><?xml version="1.0" encoding="UTF-8" standalone="yes"?>
<Relationships xmlns="http://schemas.openxmlformats.org/package/2006/relationships"><Relationship Id="rId3" Type="http://schemas.openxmlformats.org/officeDocument/2006/relationships/hyperlink" Target="#'&#1051;&#1080;&#1085;&#1077;&#1081;&#1082;&#1072; Dallas Lock'!A1"/><Relationship Id="rId2" Type="http://schemas.openxmlformats.org/officeDocument/2006/relationships/hyperlink" Target="#'&#1054;&#1087;&#1080;&#1089;&#1072;&#1085;&#1080;&#1077; &#1087;&#1088;&#1086;&#1076;&#1091;&#1082;&#1090;&#1086;&#1074;'!A9"/><Relationship Id="rId1" Type="http://schemas.openxmlformats.org/officeDocument/2006/relationships/image" Target="../media/image3.png"/><Relationship Id="rId6" Type="http://schemas.openxmlformats.org/officeDocument/2006/relationships/hyperlink" Target="#'&#1045;&#1062;&#1059; Dallas Lock'!A1"/><Relationship Id="rId5" Type="http://schemas.openxmlformats.org/officeDocument/2006/relationships/image" Target="../media/image6.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1045;&#1062;&#1059; Dallas Lock'!A1"/><Relationship Id="rId2" Type="http://schemas.openxmlformats.org/officeDocument/2006/relationships/image" Target="../media/image4.png"/><Relationship Id="rId1" Type="http://schemas.openxmlformats.org/officeDocument/2006/relationships/hyperlink" Target="#'&#1051;&#1080;&#1085;&#1077;&#1081;&#1082;&#1072; Dallas Lock'!A1"/></Relationships>
</file>

<file path=xl/drawings/_rels/drawing6.xml.rels><?xml version="1.0" encoding="UTF-8" standalone="yes"?>
<Relationships xmlns="http://schemas.openxmlformats.org/package/2006/relationships"><Relationship Id="rId3" Type="http://schemas.openxmlformats.org/officeDocument/2006/relationships/hyperlink" Target="#'&#1054;&#1087;&#1080;&#1089;&#1072;&#1085;&#1080;&#1077; &#1087;&#1088;&#1086;&#1076;&#1091;&#1082;&#1090;&#1086;&#1074;'!A12"/><Relationship Id="rId7" Type="http://schemas.openxmlformats.org/officeDocument/2006/relationships/hyperlink" Target="#'&#1045;&#1062;&#1059; Dallas Lock'!A1"/><Relationship Id="rId2" Type="http://schemas.openxmlformats.org/officeDocument/2006/relationships/image" Target="../media/image3.png"/><Relationship Id="rId1" Type="http://schemas.openxmlformats.org/officeDocument/2006/relationships/image" Target="../media/image8.png"/><Relationship Id="rId6"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hyperlink" Target="#'&#1051;&#1080;&#1085;&#1077;&#1081;&#1082;&#1072; Dallas Lock'!A1"/></Relationships>
</file>

<file path=xl/drawings/_rels/drawing7.xml.rels><?xml version="1.0" encoding="UTF-8" standalone="yes"?>
<Relationships xmlns="http://schemas.openxmlformats.org/package/2006/relationships"><Relationship Id="rId3" Type="http://schemas.openxmlformats.org/officeDocument/2006/relationships/hyperlink" Target="#'&#1054;&#1087;&#1080;&#1089;&#1072;&#1085;&#1080;&#1077; &#1087;&#1088;&#1086;&#1076;&#1091;&#1082;&#1090;&#1086;&#1074;'!A15"/><Relationship Id="rId7" Type="http://schemas.openxmlformats.org/officeDocument/2006/relationships/hyperlink" Target="#'&#1045;&#1062;&#1059; Dallas Lock'!A1"/><Relationship Id="rId2" Type="http://schemas.openxmlformats.org/officeDocument/2006/relationships/image" Target="../media/image3.png"/><Relationship Id="rId1" Type="http://schemas.openxmlformats.org/officeDocument/2006/relationships/image" Target="../media/image8.png"/><Relationship Id="rId6"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hyperlink" Target="#'&#1051;&#1080;&#1085;&#1077;&#1081;&#1082;&#1072; Dallas Lock'!A1"/></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1051;&#1080;&#1085;&#1077;&#1081;&#1082;&#1072; Dallas Lock'!A1"/><Relationship Id="rId5" Type="http://schemas.openxmlformats.org/officeDocument/2006/relationships/image" Target="../media/image3.png"/><Relationship Id="rId4" Type="http://schemas.openxmlformats.org/officeDocument/2006/relationships/hyperlink" Target="#'&#1054;&#1087;&#1080;&#1089;&#1072;&#1085;&#1080;&#1077; &#1087;&#1088;&#1086;&#1076;&#1091;&#1082;&#1090;&#1086;&#1074;'!A20"/></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hyperlink" Target="#'&#1051;&#1080;&#1085;&#1077;&#1081;&#1082;&#1072; Dallas Lock'!A1"/><Relationship Id="rId4" Type="http://schemas.openxmlformats.org/officeDocument/2006/relationships/hyperlink" Target="#'&#1054;&#1087;&#1080;&#1089;&#1072;&#1085;&#1080;&#1077; &#1087;&#1088;&#1086;&#1076;&#1091;&#1082;&#1090;&#1086;&#1074;'!A52"/></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64204</xdr:rowOff>
    </xdr:from>
    <xdr:to>
      <xdr:col>9</xdr:col>
      <xdr:colOff>537883</xdr:colOff>
      <xdr:row>16</xdr:row>
      <xdr:rowOff>83535</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9525" y="1633028"/>
          <a:ext cx="12025593" cy="1509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0" i="0" u="none" strike="noStrike" baseline="0">
              <a:solidFill>
                <a:schemeClr val="dk1"/>
              </a:solidFill>
              <a:latin typeface="Arial" panose="020B0604020202020204" pitchFamily="34" charset="0"/>
              <a:ea typeface="+mn-ea"/>
              <a:cs typeface="Arial" panose="020B0604020202020204" pitchFamily="34" charset="0"/>
            </a:rPr>
            <a:t>Продуктовая линейка </a:t>
          </a:r>
          <a:r>
            <a:rPr lang="en-US" sz="1100" b="0" i="0" u="none" strike="noStrike" baseline="0">
              <a:solidFill>
                <a:schemeClr val="dk1"/>
              </a:solidFill>
              <a:latin typeface="Arial" panose="020B0604020202020204" pitchFamily="34" charset="0"/>
              <a:ea typeface="+mn-ea"/>
              <a:cs typeface="Arial" panose="020B0604020202020204" pitchFamily="34" charset="0"/>
            </a:rPr>
            <a:t>Dallas Lock </a:t>
          </a:r>
          <a:r>
            <a:rPr lang="ru-RU" sz="1100" b="0" i="0" u="none" strike="noStrike" baseline="0">
              <a:solidFill>
                <a:schemeClr val="dk1"/>
              </a:solidFill>
              <a:latin typeface="Arial" panose="020B0604020202020204" pitchFamily="34" charset="0"/>
              <a:ea typeface="+mn-ea"/>
              <a:cs typeface="Arial" panose="020B0604020202020204" pitchFamily="34" charset="0"/>
            </a:rPr>
            <a:t>Центра защиты информации ГК «Конфидент» – это программные и программно-аппаратные</a:t>
          </a:r>
          <a:r>
            <a:rPr lang="en-US" sz="1100" b="0" i="0" u="none" strike="noStrike" baseline="0">
              <a:solidFill>
                <a:schemeClr val="dk1"/>
              </a:solidFill>
              <a:latin typeface="Arial" panose="020B0604020202020204" pitchFamily="34" charset="0"/>
              <a:ea typeface="+mn-ea"/>
              <a:cs typeface="Arial" panose="020B0604020202020204" pitchFamily="34" charset="0"/>
            </a:rPr>
            <a:t> </a:t>
          </a:r>
          <a:r>
            <a:rPr lang="ru-RU" sz="1100" b="0" i="0" u="none" strike="noStrike" baseline="0">
              <a:solidFill>
                <a:schemeClr val="dk1"/>
              </a:solidFill>
              <a:latin typeface="Arial" panose="020B0604020202020204" pitchFamily="34" charset="0"/>
              <a:ea typeface="+mn-ea"/>
              <a:cs typeface="Arial" panose="020B0604020202020204" pitchFamily="34" charset="0"/>
            </a:rPr>
            <a:t>средства защиты информации для платформ </a:t>
          </a:r>
          <a:r>
            <a:rPr lang="en-US" sz="1100" b="0" i="0" u="none" strike="noStrike" baseline="0">
              <a:solidFill>
                <a:schemeClr val="dk1"/>
              </a:solidFill>
              <a:latin typeface="Arial" panose="020B0604020202020204" pitchFamily="34" charset="0"/>
              <a:ea typeface="+mn-ea"/>
              <a:cs typeface="Arial" panose="020B0604020202020204" pitchFamily="34" charset="0"/>
            </a:rPr>
            <a:t>Windows </a:t>
          </a:r>
          <a:r>
            <a:rPr lang="ru-RU" sz="1100" b="0" i="0" u="none" strike="noStrike" baseline="0">
              <a:solidFill>
                <a:schemeClr val="dk1"/>
              </a:solidFill>
              <a:latin typeface="Arial" panose="020B0604020202020204" pitchFamily="34" charset="0"/>
              <a:ea typeface="+mn-ea"/>
              <a:cs typeface="Arial" panose="020B0604020202020204" pitchFamily="34" charset="0"/>
            </a:rPr>
            <a:t>и </a:t>
          </a:r>
          <a:r>
            <a:rPr lang="en-US" sz="1100" b="0" i="0" u="none" strike="noStrike" baseline="0">
              <a:solidFill>
                <a:schemeClr val="dk1"/>
              </a:solidFill>
              <a:latin typeface="Arial" panose="020B0604020202020204" pitchFamily="34" charset="0"/>
              <a:ea typeface="+mn-ea"/>
              <a:cs typeface="Arial" panose="020B0604020202020204" pitchFamily="34" charset="0"/>
            </a:rPr>
            <a:t>Linux, </a:t>
          </a:r>
          <a:r>
            <a:rPr lang="ru-RU" sz="1100" b="0" i="0" u="none" strike="noStrike" baseline="0">
              <a:solidFill>
                <a:schemeClr val="dk1"/>
              </a:solidFill>
              <a:latin typeface="Arial" panose="020B0604020202020204" pitchFamily="34" charset="0"/>
              <a:ea typeface="+mn-ea"/>
              <a:cs typeface="Arial" panose="020B0604020202020204" pitchFamily="34" charset="0"/>
            </a:rPr>
            <a:t>которые предназначены для защиты от несанкционированного</a:t>
          </a:r>
          <a:r>
            <a:rPr lang="en-US" sz="1100" b="0" i="0" u="none" strike="noStrike" baseline="0">
              <a:solidFill>
                <a:schemeClr val="dk1"/>
              </a:solidFill>
              <a:latin typeface="Arial" panose="020B0604020202020204" pitchFamily="34" charset="0"/>
              <a:ea typeface="+mn-ea"/>
              <a:cs typeface="Arial" panose="020B0604020202020204" pitchFamily="34" charset="0"/>
            </a:rPr>
            <a:t> </a:t>
          </a:r>
          <a:r>
            <a:rPr lang="ru-RU" sz="1100" b="0" i="0" u="none" strike="noStrike" baseline="0">
              <a:solidFill>
                <a:schemeClr val="dk1"/>
              </a:solidFill>
              <a:latin typeface="Arial" panose="020B0604020202020204" pitchFamily="34" charset="0"/>
              <a:ea typeface="+mn-ea"/>
              <a:cs typeface="Arial" panose="020B0604020202020204" pitchFamily="34" charset="0"/>
            </a:rPr>
            <a:t>доступа, межсетевого экранирования, обнаружения и предотвращения вторжений, доверенной загрузки, защиты виртуализованных инфраструктур. Решения компании востребованы заказчиками – в России реализуется более 4500 проектов в год с использованием продуктов </a:t>
          </a:r>
          <a:r>
            <a:rPr lang="en-US" sz="1100" b="0" i="0" u="none" strike="noStrike" baseline="0">
              <a:solidFill>
                <a:schemeClr val="dk1"/>
              </a:solidFill>
              <a:latin typeface="Arial" panose="020B0604020202020204" pitchFamily="34" charset="0"/>
              <a:ea typeface="+mn-ea"/>
              <a:cs typeface="Arial" panose="020B0604020202020204" pitchFamily="34" charset="0"/>
            </a:rPr>
            <a:t>Dallas Lock. </a:t>
          </a:r>
          <a:r>
            <a:rPr lang="ru-RU" sz="1100" b="0" i="0" u="none" strike="noStrike" baseline="0">
              <a:solidFill>
                <a:schemeClr val="dk1"/>
              </a:solidFill>
              <a:latin typeface="Arial" panose="020B0604020202020204" pitchFamily="34" charset="0"/>
              <a:ea typeface="+mn-ea"/>
              <a:cs typeface="Arial" panose="020B0604020202020204" pitchFamily="34" charset="0"/>
            </a:rPr>
            <a:t>Продукты </a:t>
          </a:r>
          <a:r>
            <a:rPr lang="en-US" sz="1100" b="0" i="0" u="none" strike="noStrike" baseline="0">
              <a:solidFill>
                <a:schemeClr val="dk1"/>
              </a:solidFill>
              <a:latin typeface="Arial" panose="020B0604020202020204" pitchFamily="34" charset="0"/>
              <a:ea typeface="+mn-ea"/>
              <a:cs typeface="Arial" panose="020B0604020202020204" pitchFamily="34" charset="0"/>
            </a:rPr>
            <a:t>Dallas Lock </a:t>
          </a:r>
          <a:r>
            <a:rPr lang="ru-RU" sz="1100" b="0" i="0" u="none" strike="noStrike" baseline="0">
              <a:solidFill>
                <a:schemeClr val="dk1"/>
              </a:solidFill>
              <a:latin typeface="Arial" panose="020B0604020202020204" pitchFamily="34" charset="0"/>
              <a:ea typeface="+mn-ea"/>
              <a:cs typeface="Arial" panose="020B0604020202020204" pitchFamily="34" charset="0"/>
            </a:rPr>
            <a:t>позволяют нейтрализовать целый ряд угроз ИБ, значительно снижают</a:t>
          </a:r>
          <a:r>
            <a:rPr lang="en-US" sz="1100" b="0" i="0" u="none" strike="noStrike" baseline="0">
              <a:solidFill>
                <a:schemeClr val="dk1"/>
              </a:solidFill>
              <a:latin typeface="Arial" panose="020B0604020202020204" pitchFamily="34" charset="0"/>
              <a:ea typeface="+mn-ea"/>
              <a:cs typeface="Arial" panose="020B0604020202020204" pitchFamily="34" charset="0"/>
            </a:rPr>
            <a:t> </a:t>
          </a:r>
          <a:r>
            <a:rPr lang="ru-RU" sz="1100" b="0" i="0" u="none" strike="noStrike" baseline="0">
              <a:solidFill>
                <a:schemeClr val="dk1"/>
              </a:solidFill>
              <a:latin typeface="Arial" panose="020B0604020202020204" pitchFamily="34" charset="0"/>
              <a:ea typeface="+mn-ea"/>
              <a:cs typeface="Arial" panose="020B0604020202020204" pitchFamily="34" charset="0"/>
            </a:rPr>
            <a:t>риски использования общепринятых ИТ-решений в информационных инфраструктурах и упрощают управление информационной безопасностью за счет взаимной интеграции, а также за счет современных инструментов централизованного управления.</a:t>
          </a:r>
          <a:endParaRPr lang="ru-RU" sz="18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xdr:row>
      <xdr:rowOff>0</xdr:rowOff>
    </xdr:from>
    <xdr:to>
      <xdr:col>10</xdr:col>
      <xdr:colOff>35662</xdr:colOff>
      <xdr:row>7</xdr:row>
      <xdr:rowOff>3240</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607"/>
          <a:ext cx="12214055" cy="1227883"/>
        </a:xfrm>
        <a:prstGeom prst="rect">
          <a:avLst/>
        </a:prstGeom>
      </xdr:spPr>
    </xdr:pic>
    <xdr:clientData/>
  </xdr:twoCellAnchor>
  <xdr:twoCellAnchor>
    <xdr:from>
      <xdr:col>6</xdr:col>
      <xdr:colOff>328333</xdr:colOff>
      <xdr:row>43</xdr:row>
      <xdr:rowOff>45905</xdr:rowOff>
    </xdr:from>
    <xdr:to>
      <xdr:col>8</xdr:col>
      <xdr:colOff>509308</xdr:colOff>
      <xdr:row>45</xdr:row>
      <xdr:rowOff>203068</xdr:rowOff>
    </xdr:to>
    <xdr:sp macro="" textlink="">
      <xdr:nvSpPr>
        <xdr:cNvPr id="13" name="Прямоугольник 12">
          <a:hlinkClick xmlns:r="http://schemas.openxmlformats.org/officeDocument/2006/relationships" r:id="rId2"/>
          <a:extLst>
            <a:ext uri="{FF2B5EF4-FFF2-40B4-BE49-F238E27FC236}">
              <a16:creationId xmlns:a16="http://schemas.microsoft.com/office/drawing/2014/main" xmlns="" id="{00000000-0008-0000-0000-00000D000000}"/>
            </a:ext>
          </a:extLst>
        </xdr:cNvPr>
        <xdr:cNvSpPr/>
      </xdr:nvSpPr>
      <xdr:spPr>
        <a:xfrm>
          <a:off x="9674039" y="8853729"/>
          <a:ext cx="1615328" cy="582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2554382</xdr:colOff>
      <xdr:row>43</xdr:row>
      <xdr:rowOff>45905</xdr:rowOff>
    </xdr:from>
    <xdr:to>
      <xdr:col>1</xdr:col>
      <xdr:colOff>4168029</xdr:colOff>
      <xdr:row>45</xdr:row>
      <xdr:rowOff>203068</xdr:rowOff>
    </xdr:to>
    <xdr:sp macro="" textlink="">
      <xdr:nvSpPr>
        <xdr:cNvPr id="10" name="Прямоугольник 9">
          <a:hlinkClick xmlns:r="http://schemas.openxmlformats.org/officeDocument/2006/relationships" r:id="rId3"/>
          <a:extLst>
            <a:ext uri="{FF2B5EF4-FFF2-40B4-BE49-F238E27FC236}">
              <a16:creationId xmlns:a16="http://schemas.microsoft.com/office/drawing/2014/main" xmlns="" id="{00000000-0008-0000-0000-00000A000000}"/>
            </a:ext>
          </a:extLst>
        </xdr:cNvPr>
        <xdr:cNvSpPr/>
      </xdr:nvSpPr>
      <xdr:spPr>
        <a:xfrm>
          <a:off x="4369735" y="8853729"/>
          <a:ext cx="1613647" cy="582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4329954</xdr:colOff>
      <xdr:row>43</xdr:row>
      <xdr:rowOff>68317</xdr:rowOff>
    </xdr:from>
    <xdr:to>
      <xdr:col>3</xdr:col>
      <xdr:colOff>566459</xdr:colOff>
      <xdr:row>46</xdr:row>
      <xdr:rowOff>12568</xdr:rowOff>
    </xdr:to>
    <xdr:sp macro="" textlink="">
      <xdr:nvSpPr>
        <xdr:cNvPr id="14" name="Прямоугольник 13">
          <a:hlinkClick xmlns:r="http://schemas.openxmlformats.org/officeDocument/2006/relationships" r:id="rId4"/>
          <a:extLst>
            <a:ext uri="{FF2B5EF4-FFF2-40B4-BE49-F238E27FC236}">
              <a16:creationId xmlns:a16="http://schemas.microsoft.com/office/drawing/2014/main" xmlns="" id="{00000000-0008-0000-0000-00000E000000}"/>
            </a:ext>
          </a:extLst>
        </xdr:cNvPr>
        <xdr:cNvSpPr/>
      </xdr:nvSpPr>
      <xdr:spPr>
        <a:xfrm>
          <a:off x="6145307" y="8876141"/>
          <a:ext cx="1615328" cy="582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855009</xdr:colOff>
      <xdr:row>43</xdr:row>
      <xdr:rowOff>45905</xdr:rowOff>
    </xdr:from>
    <xdr:to>
      <xdr:col>1</xdr:col>
      <xdr:colOff>2464734</xdr:colOff>
      <xdr:row>45</xdr:row>
      <xdr:rowOff>203068</xdr:rowOff>
    </xdr:to>
    <xdr:sp macro="" textlink="">
      <xdr:nvSpPr>
        <xdr:cNvPr id="15" name="Прямоугольник 14">
          <a:hlinkClick xmlns:r="http://schemas.openxmlformats.org/officeDocument/2006/relationships" r:id="rId5"/>
          <a:extLst>
            <a:ext uri="{FF2B5EF4-FFF2-40B4-BE49-F238E27FC236}">
              <a16:creationId xmlns:a16="http://schemas.microsoft.com/office/drawing/2014/main" xmlns="" id="{00000000-0008-0000-0000-00000F000000}"/>
            </a:ext>
          </a:extLst>
        </xdr:cNvPr>
        <xdr:cNvSpPr/>
      </xdr:nvSpPr>
      <xdr:spPr>
        <a:xfrm>
          <a:off x="2670362" y="8853729"/>
          <a:ext cx="1609725" cy="582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4</xdr:col>
      <xdr:colOff>15968</xdr:colOff>
      <xdr:row>43</xdr:row>
      <xdr:rowOff>68317</xdr:rowOff>
    </xdr:from>
    <xdr:to>
      <xdr:col>6</xdr:col>
      <xdr:colOff>196943</xdr:colOff>
      <xdr:row>46</xdr:row>
      <xdr:rowOff>12568</xdr:rowOff>
    </xdr:to>
    <xdr:sp macro="" textlink="">
      <xdr:nvSpPr>
        <xdr:cNvPr id="16" name="Прямоугольник 15">
          <a:hlinkClick xmlns:r="http://schemas.openxmlformats.org/officeDocument/2006/relationships" r:id="rId6"/>
          <a:extLst>
            <a:ext uri="{FF2B5EF4-FFF2-40B4-BE49-F238E27FC236}">
              <a16:creationId xmlns:a16="http://schemas.microsoft.com/office/drawing/2014/main" xmlns="" id="{00000000-0008-0000-0000-000010000000}"/>
            </a:ext>
          </a:extLst>
        </xdr:cNvPr>
        <xdr:cNvSpPr/>
      </xdr:nvSpPr>
      <xdr:spPr>
        <a:xfrm>
          <a:off x="7927321" y="8876141"/>
          <a:ext cx="1615328" cy="582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138314</xdr:colOff>
      <xdr:row>15</xdr:row>
      <xdr:rowOff>119743</xdr:rowOff>
    </xdr:from>
    <xdr:to>
      <xdr:col>9</xdr:col>
      <xdr:colOff>695325</xdr:colOff>
      <xdr:row>64</xdr:row>
      <xdr:rowOff>9525</xdr:rowOff>
    </xdr:to>
    <xdr:pic>
      <xdr:nvPicPr>
        <xdr:cNvPr id="7" name="Рисунок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38314" y="2672443"/>
          <a:ext cx="12977611" cy="922428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29367</xdr:colOff>
      <xdr:row>21</xdr:row>
      <xdr:rowOff>48130</xdr:rowOff>
    </xdr:from>
    <xdr:to>
      <xdr:col>2</xdr:col>
      <xdr:colOff>3596771</xdr:colOff>
      <xdr:row>50</xdr:row>
      <xdr:rowOff>56029</xdr:rowOff>
    </xdr:to>
    <xdr:sp macro="" textlink="">
      <xdr:nvSpPr>
        <xdr:cNvPr id="4" name="TextBox 3">
          <a:extLst>
            <a:ext uri="{FF2B5EF4-FFF2-40B4-BE49-F238E27FC236}">
              <a16:creationId xmlns:a16="http://schemas.microsoft.com/office/drawing/2014/main" xmlns="" id="{00000000-0008-0000-0900-000004000000}"/>
            </a:ext>
          </a:extLst>
        </xdr:cNvPr>
        <xdr:cNvSpPr txBox="1"/>
      </xdr:nvSpPr>
      <xdr:spPr>
        <a:xfrm>
          <a:off x="29367" y="6144130"/>
          <a:ext cx="5382757" cy="553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a:effectLst/>
            </a:rPr>
            <a:t>С 01.11.2023 прекращаются продажи программного продукта Сервер безопасности (СБ) </a:t>
          </a:r>
          <a:r>
            <a:rPr lang="en-US">
              <a:effectLst/>
            </a:rPr>
            <a:t>Dallas Lock </a:t>
          </a:r>
          <a:r>
            <a:rPr lang="ru-RU">
              <a:effectLst/>
            </a:rPr>
            <a:t>версий 8.0-К и 8.0-С в связи с тем, что развитие этого продукта заморожено. Техническое сопровождение пользователей будет осуществляться в соответствии с оплаченным уровнем технической поддержки. </a:t>
          </a:r>
        </a:p>
        <a:p>
          <a:pPr algn="just"/>
          <a:r>
            <a:rPr lang="ru-RU">
              <a:effectLst/>
            </a:rPr>
            <a:t>С 01.11.2023 вместо Серверов безопасности для целей централизованного управления необходимо приобретать Единый центр управления (ЕЦУ).</a:t>
          </a:r>
        </a:p>
        <a:p>
          <a:pPr algn="just"/>
          <a:r>
            <a:rPr lang="ru-RU">
              <a:effectLst/>
            </a:rPr>
            <a:t>С 01.11.2023 при оплате продления технической поддержки СБ </a:t>
          </a:r>
          <a:r>
            <a:rPr lang="en-US">
              <a:effectLst/>
            </a:rPr>
            <a:t>Dallas Lock </a:t>
          </a:r>
          <a:r>
            <a:rPr lang="ru-RU">
              <a:effectLst/>
            </a:rPr>
            <a:t>пользователям будет предоставлена лицензия (неисключительное право) на ЕЦУ </a:t>
          </a:r>
          <a:r>
            <a:rPr lang="en-US">
              <a:effectLst/>
            </a:rPr>
            <a:t>Dallas Lock</a:t>
          </a:r>
          <a:r>
            <a:rPr lang="ru-RU">
              <a:effectLst/>
            </a:rPr>
            <a:t> (обновление).</a:t>
          </a:r>
        </a:p>
        <a:p>
          <a:pPr algn="just"/>
          <a:r>
            <a:rPr lang="ru-RU">
              <a:effectLst/>
            </a:rPr>
            <a:t>ЕЦУ </a:t>
          </a:r>
          <a:r>
            <a:rPr lang="en-US">
              <a:effectLst/>
            </a:rPr>
            <a:t>Dallas Lock</a:t>
          </a:r>
          <a:r>
            <a:rPr lang="ru-RU">
              <a:effectLst/>
            </a:rPr>
            <a:t> – это современное сертифицированное на соответствие требованиям безопасности информации ФСТЭК России решение, которое находится в Едином реестре российских программ для ЭВМ и БД (№</a:t>
          </a:r>
          <a:r>
            <a:rPr lang="ru-RU" sz="1100">
              <a:solidFill>
                <a:schemeClr val="dk1"/>
              </a:solidFill>
              <a:effectLst/>
              <a:latin typeface="+mn-lt"/>
              <a:ea typeface="+mn-ea"/>
              <a:cs typeface="+mn-cs"/>
            </a:rPr>
            <a:t>11185 от 29.07.2021 г.</a:t>
          </a:r>
          <a:r>
            <a:rPr lang="ru-RU">
              <a:effectLst/>
            </a:rPr>
            <a:t>). </a:t>
          </a:r>
        </a:p>
        <a:p>
          <a:pPr algn="just"/>
          <a:r>
            <a:rPr lang="ru-RU">
              <a:effectLst/>
            </a:rPr>
            <a:t>ЕЦУ </a:t>
          </a:r>
          <a:r>
            <a:rPr lang="en-US">
              <a:effectLst/>
            </a:rPr>
            <a:t>Dallas Lock</a:t>
          </a:r>
          <a:r>
            <a:rPr lang="ru-RU">
              <a:effectLst/>
            </a:rPr>
            <a:t> – это не только замена устаревшего продукта СБ </a:t>
          </a:r>
          <a:r>
            <a:rPr lang="en-US">
              <a:effectLst/>
            </a:rPr>
            <a:t>Dallas Lock</a:t>
          </a:r>
          <a:r>
            <a:rPr lang="ru-RU">
              <a:effectLst/>
            </a:rPr>
            <a:t>, но и продукт, который имеет ряд значительных преимуществ перед СБ, в частности:</a:t>
          </a:r>
        </a:p>
        <a:p>
          <a:pPr lvl="0" algn="just"/>
          <a:r>
            <a:rPr lang="ru-RU" sz="1100">
              <a:solidFill>
                <a:schemeClr val="dk1"/>
              </a:solidFill>
              <a:effectLst/>
              <a:latin typeface="+mn-lt"/>
              <a:ea typeface="+mn-ea"/>
              <a:cs typeface="+mn-cs"/>
            </a:rPr>
            <a:t>ЕЦУ совместим с широким спектром операционных систем (ОС) от </a:t>
          </a:r>
          <a:r>
            <a:rPr lang="en-US" sz="1100">
              <a:solidFill>
                <a:schemeClr val="dk1"/>
              </a:solidFill>
              <a:effectLst/>
              <a:latin typeface="+mn-lt"/>
              <a:ea typeface="+mn-ea"/>
              <a:cs typeface="+mn-cs"/>
            </a:rPr>
            <a:t>Microsoft Windows </a:t>
          </a:r>
          <a:r>
            <a:rPr lang="ru-RU" sz="1100">
              <a:solidFill>
                <a:schemeClr val="dk1"/>
              </a:solidFill>
              <a:effectLst/>
              <a:latin typeface="+mn-lt"/>
              <a:ea typeface="+mn-ea"/>
              <a:cs typeface="+mn-cs"/>
            </a:rPr>
            <a:t>до сертифицированных российских ОС (СБ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совместим только с ОС семейства </a:t>
          </a:r>
          <a:r>
            <a:rPr lang="en-US" sz="1100">
              <a:solidFill>
                <a:schemeClr val="dk1"/>
              </a:solidFill>
              <a:effectLst/>
              <a:latin typeface="+mn-lt"/>
              <a:ea typeface="+mn-ea"/>
              <a:cs typeface="+mn-cs"/>
            </a:rPr>
            <a:t>Microsoft Windows</a:t>
          </a:r>
          <a:r>
            <a:rPr lang="ru-RU" sz="1100">
              <a:solidFill>
                <a:schemeClr val="dk1"/>
              </a:solidFill>
              <a:effectLst/>
              <a:latin typeface="+mn-lt"/>
              <a:ea typeface="+mn-ea"/>
              <a:cs typeface="+mn-cs"/>
            </a:rPr>
            <a:t>);</a:t>
          </a:r>
        </a:p>
        <a:p>
          <a:pPr lvl="0" algn="just"/>
          <a:r>
            <a:rPr lang="ru-RU" sz="1100">
              <a:solidFill>
                <a:schemeClr val="dk1"/>
              </a:solidFill>
              <a:effectLst/>
              <a:latin typeface="+mn-lt"/>
              <a:ea typeface="+mn-ea"/>
              <a:cs typeface="+mn-cs"/>
            </a:rPr>
            <a:t>ЕЦУ позволяет управлять не только различными СЗИ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но также АРМами и серверами, на которых не установлены СЗИ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(через Агента ЕЦУ для ОС </a:t>
          </a:r>
          <a:r>
            <a:rPr lang="en-US" sz="1100">
              <a:solidFill>
                <a:schemeClr val="dk1"/>
              </a:solidFill>
              <a:effectLst/>
              <a:latin typeface="+mn-lt"/>
              <a:ea typeface="+mn-ea"/>
              <a:cs typeface="+mn-cs"/>
            </a:rPr>
            <a:t>Windows </a:t>
          </a:r>
          <a:r>
            <a:rPr lang="ru-RU" sz="1100">
              <a:solidFill>
                <a:schemeClr val="dk1"/>
              </a:solidFill>
              <a:effectLst/>
              <a:latin typeface="+mn-lt"/>
              <a:ea typeface="+mn-ea"/>
              <a:cs typeface="+mn-cs"/>
            </a:rPr>
            <a:t>и </a:t>
          </a:r>
          <a:r>
            <a:rPr lang="en-US" sz="1100">
              <a:solidFill>
                <a:schemeClr val="dk1"/>
              </a:solidFill>
              <a:effectLst/>
              <a:latin typeface="+mn-lt"/>
              <a:ea typeface="+mn-ea"/>
              <a:cs typeface="+mn-cs"/>
            </a:rPr>
            <a:t>Linux</a:t>
          </a:r>
          <a:r>
            <a:rPr lang="ru-RU" sz="1100">
              <a:solidFill>
                <a:schemeClr val="dk1"/>
              </a:solidFill>
              <a:effectLst/>
              <a:latin typeface="+mn-lt"/>
              <a:ea typeface="+mn-ea"/>
              <a:cs typeface="+mn-cs"/>
            </a:rPr>
            <a:t>), кроме того ЕЦУ позволяет контролировать сетевое оборудование (СБ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 управляет только различными СЗИ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a:t>
          </a:r>
        </a:p>
        <a:p>
          <a:pPr lvl="0" algn="just"/>
          <a:r>
            <a:rPr lang="ru-RU" sz="1100">
              <a:solidFill>
                <a:schemeClr val="dk1"/>
              </a:solidFill>
              <a:effectLst/>
              <a:latin typeface="+mn-lt"/>
              <a:ea typeface="+mn-ea"/>
              <a:cs typeface="+mn-cs"/>
            </a:rPr>
            <a:t>ЕЦУ обеспечивает возможность безопасного доступа к удаленному АРМ (за пределами периметра организации) для администрирования (в СБ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такие механизмы отсутствуют);</a:t>
          </a:r>
        </a:p>
        <a:p>
          <a:pPr lvl="0" algn="just"/>
          <a:r>
            <a:rPr lang="ru-RU" sz="1100">
              <a:solidFill>
                <a:schemeClr val="dk1"/>
              </a:solidFill>
              <a:effectLst/>
              <a:latin typeface="+mn-lt"/>
              <a:ea typeface="+mn-ea"/>
              <a:cs typeface="+mn-cs"/>
            </a:rPr>
            <a:t>ЕЦУ сертифицирован в составе СЗИ НСД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версий 8.0-К и 8.0-С , СЗИ НСД </a:t>
          </a:r>
          <a:r>
            <a:rPr lang="en-US" sz="1100">
              <a:solidFill>
                <a:schemeClr val="dk1"/>
              </a:solidFill>
              <a:effectLst/>
              <a:latin typeface="+mn-lt"/>
              <a:ea typeface="+mn-ea"/>
              <a:cs typeface="+mn-cs"/>
            </a:rPr>
            <a:t>Dallas Lock Linux</a:t>
          </a:r>
          <a:r>
            <a:rPr lang="ru-RU" sz="1100">
              <a:solidFill>
                <a:schemeClr val="dk1"/>
              </a:solidFill>
              <a:effectLst/>
              <a:latin typeface="+mn-lt"/>
              <a:ea typeface="+mn-ea"/>
              <a:cs typeface="+mn-cs"/>
            </a:rPr>
            <a:t>, СДЗ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уровня платы расширения, находится на сертификации в составе СДЗ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уровня </a:t>
          </a:r>
          <a:r>
            <a:rPr lang="en-US" sz="1100">
              <a:solidFill>
                <a:schemeClr val="dk1"/>
              </a:solidFill>
              <a:effectLst/>
              <a:latin typeface="+mn-lt"/>
              <a:ea typeface="+mn-ea"/>
              <a:cs typeface="+mn-cs"/>
            </a:rPr>
            <a:t>BIOS</a:t>
          </a:r>
          <a:r>
            <a:rPr lang="ru-RU" sz="1100">
              <a:solidFill>
                <a:schemeClr val="dk1"/>
              </a:solidFill>
              <a:effectLst/>
              <a:latin typeface="+mn-lt"/>
              <a:ea typeface="+mn-ea"/>
              <a:cs typeface="+mn-cs"/>
            </a:rPr>
            <a:t> (СБ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сертифицирован только в составе СЗИ НСД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a:t>
          </a:r>
        </a:p>
        <a:p>
          <a:pPr algn="just"/>
          <a:r>
            <a:rPr lang="ru-RU" sz="1100">
              <a:solidFill>
                <a:schemeClr val="dk1"/>
              </a:solidFill>
              <a:effectLst/>
              <a:latin typeface="+mn-lt"/>
              <a:ea typeface="+mn-ea"/>
              <a:cs typeface="+mn-cs"/>
            </a:rPr>
            <a:t>Обращаем внимание, что ЕЦУ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лицензируется не только по количеству контролируемых АРМ с установленными СЗИ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или Агентами ЕЦУ, а также по количеству сетевых устройств.</a:t>
          </a:r>
        </a:p>
        <a:p>
          <a:pPr algn="just"/>
          <a:r>
            <a:rPr lang="ru-RU" sz="1100" b="1">
              <a:solidFill>
                <a:schemeClr val="dk1"/>
              </a:solidFill>
              <a:effectLst/>
              <a:latin typeface="+mn-lt"/>
              <a:ea typeface="+mn-ea"/>
              <a:cs typeface="+mn-cs"/>
            </a:rPr>
            <a:t> </a:t>
          </a:r>
          <a:endParaRPr lang="ru-RU" sz="1100">
            <a:solidFill>
              <a:schemeClr val="dk1"/>
            </a:solidFill>
            <a:effectLst/>
            <a:latin typeface="+mn-lt"/>
            <a:ea typeface="+mn-ea"/>
            <a:cs typeface="+mn-cs"/>
          </a:endParaRPr>
        </a:p>
      </xdr:txBody>
    </xdr:sp>
    <xdr:clientData/>
  </xdr:twoCellAnchor>
  <xdr:twoCellAnchor>
    <xdr:from>
      <xdr:col>2</xdr:col>
      <xdr:colOff>3677186</xdr:colOff>
      <xdr:row>21</xdr:row>
      <xdr:rowOff>48129</xdr:rowOff>
    </xdr:from>
    <xdr:to>
      <xdr:col>13</xdr:col>
      <xdr:colOff>2</xdr:colOff>
      <xdr:row>52</xdr:row>
      <xdr:rowOff>112058</xdr:rowOff>
    </xdr:to>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5492539" y="6144129"/>
          <a:ext cx="6733081" cy="5969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15000"/>
            </a:lnSpc>
            <a:spcAft>
              <a:spcPts val="0"/>
            </a:spcAft>
          </a:pPr>
          <a:r>
            <a:rPr lang="ru-RU" sz="1100" b="1">
              <a:solidFill>
                <a:srgbClr val="000000"/>
              </a:solidFill>
              <a:effectLst/>
              <a:latin typeface="+mn-lt"/>
              <a:ea typeface="Calibri"/>
              <a:cs typeface="Times New Roman"/>
            </a:rPr>
            <a:t>Техническая поддержка</a:t>
          </a:r>
        </a:p>
        <a:p>
          <a:pPr marL="0" marR="0" lvl="0" indent="0" algn="just" defTabSz="914400" eaLnBrk="1" fontAlgn="auto" latinLnBrk="0" hangingPunct="1">
            <a:lnSpc>
              <a:spcPct val="115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ru-RU" sz="1100" b="0" i="0" baseline="0">
              <a:solidFill>
                <a:schemeClr val="dk1"/>
              </a:solidFill>
              <a:effectLst/>
              <a:latin typeface="+mn-lt"/>
              <a:ea typeface="+mn-ea"/>
              <a:cs typeface="+mn-cs"/>
            </a:rPr>
            <a:t>.</a:t>
          </a:r>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endParaRPr lang="ru-RU">
            <a:effectLst/>
          </a:endParaRPr>
        </a:p>
        <a:p>
          <a:pPr algn="just">
            <a:lnSpc>
              <a:spcPct val="115000"/>
            </a:lnSpc>
            <a:spcAft>
              <a:spcPts val="0"/>
            </a:spcAft>
          </a:pPr>
          <a:endParaRPr lang="ru-RU" sz="1100" b="0">
            <a:solidFill>
              <a:srgbClr val="000000"/>
            </a:solidFill>
            <a:effectLst/>
            <a:latin typeface="+mn-lt"/>
            <a:ea typeface="Calibri"/>
            <a:cs typeface="Times New Roman"/>
          </a:endParaRPr>
        </a:p>
      </xdr:txBody>
    </xdr:sp>
    <xdr:clientData/>
  </xdr:twoCellAnchor>
  <xdr:twoCellAnchor>
    <xdr:from>
      <xdr:col>1</xdr:col>
      <xdr:colOff>9524</xdr:colOff>
      <xdr:row>56</xdr:row>
      <xdr:rowOff>177077</xdr:rowOff>
    </xdr:from>
    <xdr:to>
      <xdr:col>12</xdr:col>
      <xdr:colOff>21166</xdr:colOff>
      <xdr:row>62</xdr:row>
      <xdr:rowOff>150617</xdr:rowOff>
    </xdr:to>
    <xdr:grpSp>
      <xdr:nvGrpSpPr>
        <xdr:cNvPr id="6" name="Группа 5">
          <a:extLst>
            <a:ext uri="{FF2B5EF4-FFF2-40B4-BE49-F238E27FC236}">
              <a16:creationId xmlns:a16="http://schemas.microsoft.com/office/drawing/2014/main" xmlns="" id="{00000000-0008-0000-0900-000006000000}"/>
            </a:ext>
          </a:extLst>
        </xdr:cNvPr>
        <xdr:cNvGrpSpPr/>
      </xdr:nvGrpSpPr>
      <xdr:grpSpPr>
        <a:xfrm>
          <a:off x="95249" y="13407302"/>
          <a:ext cx="12108392" cy="1116540"/>
          <a:chOff x="9524" y="13325475"/>
          <a:chExt cx="12996370" cy="1203711"/>
        </a:xfrm>
      </xdr:grpSpPr>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9524" y="13500483"/>
            <a:ext cx="12996370" cy="1028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Arial" panose="020B0604020202020204" pitchFamily="34" charset="0"/>
              </a:rPr>
              <a:t>* «x» – </a:t>
            </a:r>
            <a:r>
              <a:rPr lang="ru-RU" sz="1100" b="0" i="0" u="none" strike="noStrike" baseline="0">
                <a:solidFill>
                  <a:schemeClr val="dk1"/>
                </a:solidFill>
                <a:latin typeface="+mn-lt"/>
                <a:ea typeface="+mn-ea"/>
                <a:cs typeface="Arial" panose="020B0604020202020204" pitchFamily="34" charset="0"/>
              </a:rPr>
              <a:t>диапазон приобретаемых лицензий по количеству рабочих станций, серверов</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используемое программное обеспечение не облагается НДС.</a:t>
            </a:r>
            <a:endParaRPr lang="en-US" sz="1100" b="0" i="0" u="none" strike="noStrike" baseline="0">
              <a:solidFill>
                <a:schemeClr val="dk1"/>
              </a:solidFill>
              <a:latin typeface="+mn-lt"/>
              <a:ea typeface="+mn-ea"/>
              <a:cs typeface="Arial" panose="020B0604020202020204" pitchFamily="34" charset="0"/>
            </a:endParaRPr>
          </a:p>
        </xdr:txBody>
      </xdr:sp>
      <xdr:cxnSp macro="">
        <xdr:nvCxnSpPr>
          <xdr:cNvPr id="8" name="Прямая соединительная линия 7">
            <a:extLst>
              <a:ext uri="{FF2B5EF4-FFF2-40B4-BE49-F238E27FC236}">
                <a16:creationId xmlns:a16="http://schemas.microsoft.com/office/drawing/2014/main" xmlns="" id="{00000000-0008-0000-0900-000008000000}"/>
              </a:ext>
            </a:extLst>
          </xdr:cNvPr>
          <xdr:cNvCxnSpPr/>
        </xdr:nvCxnSpPr>
        <xdr:spPr>
          <a:xfrm>
            <a:off x="76200" y="13325475"/>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xdr:col>
      <xdr:colOff>160615</xdr:colOff>
      <xdr:row>52</xdr:row>
      <xdr:rowOff>92490</xdr:rowOff>
    </xdr:from>
    <xdr:to>
      <xdr:col>11</xdr:col>
      <xdr:colOff>666940</xdr:colOff>
      <xdr:row>55</xdr:row>
      <xdr:rowOff>19410</xdr:rowOff>
    </xdr:to>
    <xdr:pic>
      <xdr:nvPicPr>
        <xdr:cNvPr id="10" name="Рисунок 9">
          <a:extLst>
            <a:ext uri="{FF2B5EF4-FFF2-40B4-BE49-F238E27FC236}">
              <a16:creationId xmlns:a16="http://schemas.microsoft.com/office/drawing/2014/main" xmlns="" id="{00000000-0008-0000-09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340" y="12560715"/>
          <a:ext cx="11831550" cy="4984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3752850</xdr:colOff>
          <xdr:row>5</xdr:row>
          <xdr:rowOff>85725</xdr:rowOff>
        </xdr:from>
        <xdr:to>
          <xdr:col>3</xdr:col>
          <xdr:colOff>0</xdr:colOff>
          <xdr:row>7</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xmlns=""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2</xdr:row>
      <xdr:rowOff>0</xdr:rowOff>
    </xdr:from>
    <xdr:to>
      <xdr:col>12</xdr:col>
      <xdr:colOff>57630</xdr:colOff>
      <xdr:row>3</xdr:row>
      <xdr:rowOff>8806</xdr:rowOff>
    </xdr:to>
    <xdr:sp macro="" textlink="">
      <xdr:nvSpPr>
        <xdr:cNvPr id="14" name="Прямоугольник 13">
          <a:extLst>
            <a:ext uri="{FF2B5EF4-FFF2-40B4-BE49-F238E27FC236}">
              <a16:creationId xmlns:a16="http://schemas.microsoft.com/office/drawing/2014/main" xmlns="" id="{00000000-0008-0000-0900-00000E000000}"/>
            </a:ext>
          </a:extLst>
        </xdr:cNvPr>
        <xdr:cNvSpPr/>
      </xdr:nvSpPr>
      <xdr:spPr>
        <a:xfrm>
          <a:off x="0" y="1277471"/>
          <a:ext cx="12193601" cy="37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0</xdr:colOff>
      <xdr:row>0</xdr:row>
      <xdr:rowOff>0</xdr:rowOff>
    </xdr:from>
    <xdr:to>
      <xdr:col>12</xdr:col>
      <xdr:colOff>1242</xdr:colOff>
      <xdr:row>1</xdr:row>
      <xdr:rowOff>1081945</xdr:rowOff>
    </xdr:to>
    <xdr:pic>
      <xdr:nvPicPr>
        <xdr:cNvPr id="15" name="Рисунок 14">
          <a:hlinkClick xmlns:r="http://schemas.openxmlformats.org/officeDocument/2006/relationships" r:id="rId2"/>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3"/>
        <a:stretch>
          <a:fillRect/>
        </a:stretch>
      </xdr:blipFill>
      <xdr:spPr>
        <a:xfrm>
          <a:off x="0" y="0"/>
          <a:ext cx="12201524" cy="1272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533400</xdr:colOff>
          <xdr:row>5</xdr:row>
          <xdr:rowOff>95250</xdr:rowOff>
        </xdr:from>
        <xdr:to>
          <xdr:col>11</xdr:col>
          <xdr:colOff>76200</xdr:colOff>
          <xdr:row>7</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xmlns="" id="{00000000-0008-0000-09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10</xdr:row>
      <xdr:rowOff>31750</xdr:rowOff>
    </xdr:from>
    <xdr:to>
      <xdr:col>13</xdr:col>
      <xdr:colOff>21167</xdr:colOff>
      <xdr:row>10</xdr:row>
      <xdr:rowOff>564290</xdr:rowOff>
    </xdr:to>
    <xdr:pic>
      <xdr:nvPicPr>
        <xdr:cNvPr id="9" name="Рисунок 8">
          <a:extLst>
            <a:ext uri="{FF2B5EF4-FFF2-40B4-BE49-F238E27FC236}">
              <a16:creationId xmlns:a16="http://schemas.microsoft.com/office/drawing/2014/main" xmlns="" id="{00000000-0008-0000-09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3767667"/>
          <a:ext cx="12319000" cy="532540"/>
        </a:xfrm>
        <a:prstGeom prst="rect">
          <a:avLst/>
        </a:prstGeom>
      </xdr:spPr>
    </xdr:pic>
    <xdr:clientData/>
  </xdr:twoCellAnchor>
  <xdr:twoCellAnchor>
    <xdr:from>
      <xdr:col>0</xdr:col>
      <xdr:colOff>0</xdr:colOff>
      <xdr:row>62</xdr:row>
      <xdr:rowOff>168648</xdr:rowOff>
    </xdr:from>
    <xdr:to>
      <xdr:col>11</xdr:col>
      <xdr:colOff>314805</xdr:colOff>
      <xdr:row>64</xdr:row>
      <xdr:rowOff>1522</xdr:rowOff>
    </xdr:to>
    <xdr:sp macro="" textlink="">
      <xdr:nvSpPr>
        <xdr:cNvPr id="20" name="Прямоугольник 19">
          <a:extLst>
            <a:ext uri="{FF2B5EF4-FFF2-40B4-BE49-F238E27FC236}">
              <a16:creationId xmlns:a16="http://schemas.microsoft.com/office/drawing/2014/main" xmlns="" id="{00000000-0008-0000-0900-000014000000}"/>
            </a:ext>
          </a:extLst>
        </xdr:cNvPr>
        <xdr:cNvSpPr/>
      </xdr:nvSpPr>
      <xdr:spPr>
        <a:xfrm>
          <a:off x="0" y="14557001"/>
          <a:ext cx="11744805" cy="381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76199</xdr:colOff>
      <xdr:row>63</xdr:row>
      <xdr:rowOff>2802</xdr:rowOff>
    </xdr:from>
    <xdr:to>
      <xdr:col>11</xdr:col>
      <xdr:colOff>377558</xdr:colOff>
      <xdr:row>64</xdr:row>
      <xdr:rowOff>26176</xdr:rowOff>
    </xdr:to>
    <xdr:sp macro="" textlink="">
      <xdr:nvSpPr>
        <xdr:cNvPr id="21" name="Прямоугольник 20">
          <a:extLst>
            <a:ext uri="{FF2B5EF4-FFF2-40B4-BE49-F238E27FC236}">
              <a16:creationId xmlns:a16="http://schemas.microsoft.com/office/drawing/2014/main" xmlns="" id="{00000000-0008-0000-0900-000015000000}"/>
            </a:ext>
          </a:extLst>
        </xdr:cNvPr>
        <xdr:cNvSpPr/>
      </xdr:nvSpPr>
      <xdr:spPr>
        <a:xfrm>
          <a:off x="76199" y="14581655"/>
          <a:ext cx="11731359" cy="381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mc:AlternateContent xmlns:mc="http://schemas.openxmlformats.org/markup-compatibility/2006">
    <mc:Choice xmlns:a14="http://schemas.microsoft.com/office/drawing/2010/main" Requires="a14">
      <xdr:twoCellAnchor editAs="oneCell">
        <xdr:from>
          <xdr:col>2</xdr:col>
          <xdr:colOff>3762375</xdr:colOff>
          <xdr:row>65</xdr:row>
          <xdr:rowOff>76200</xdr:rowOff>
        </xdr:from>
        <xdr:to>
          <xdr:col>3</xdr:col>
          <xdr:colOff>9525</xdr:colOff>
          <xdr:row>67</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xmlns="" id="{00000000-0008-0000-09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65</xdr:row>
          <xdr:rowOff>76200</xdr:rowOff>
        </xdr:from>
        <xdr:to>
          <xdr:col>11</xdr:col>
          <xdr:colOff>19050</xdr:colOff>
          <xdr:row>67</xdr:row>
          <xdr:rowOff>9525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xmlns="" id="{00000000-0008-0000-09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8282</xdr:colOff>
      <xdr:row>75</xdr:row>
      <xdr:rowOff>26086</xdr:rowOff>
    </xdr:from>
    <xdr:to>
      <xdr:col>13</xdr:col>
      <xdr:colOff>8284</xdr:colOff>
      <xdr:row>77</xdr:row>
      <xdr:rowOff>175795</xdr:rowOff>
    </xdr:to>
    <xdr:pic>
      <xdr:nvPicPr>
        <xdr:cNvPr id="24" name="Рисунок 23">
          <a:extLst>
            <a:ext uri="{FF2B5EF4-FFF2-40B4-BE49-F238E27FC236}">
              <a16:creationId xmlns:a16="http://schemas.microsoft.com/office/drawing/2014/main" xmlns="" id="{00000000-0008-0000-0900-00001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82" y="19285636"/>
          <a:ext cx="12268202" cy="530709"/>
        </a:xfrm>
        <a:prstGeom prst="rect">
          <a:avLst/>
        </a:prstGeom>
      </xdr:spPr>
    </xdr:pic>
    <xdr:clientData/>
  </xdr:twoCellAnchor>
  <xdr:twoCellAnchor>
    <xdr:from>
      <xdr:col>0</xdr:col>
      <xdr:colOff>0</xdr:colOff>
      <xdr:row>79</xdr:row>
      <xdr:rowOff>66261</xdr:rowOff>
    </xdr:from>
    <xdr:to>
      <xdr:col>2</xdr:col>
      <xdr:colOff>3899866</xdr:colOff>
      <xdr:row>106</xdr:row>
      <xdr:rowOff>11914</xdr:rowOff>
    </xdr:to>
    <xdr:sp macro="" textlink="">
      <xdr:nvSpPr>
        <xdr:cNvPr id="25" name="TextBox 24">
          <a:extLst>
            <a:ext uri="{FF2B5EF4-FFF2-40B4-BE49-F238E27FC236}">
              <a16:creationId xmlns:a16="http://schemas.microsoft.com/office/drawing/2014/main" xmlns="" id="{00000000-0008-0000-0900-000019000000}"/>
            </a:ext>
          </a:extLst>
        </xdr:cNvPr>
        <xdr:cNvSpPr txBox="1"/>
      </xdr:nvSpPr>
      <xdr:spPr>
        <a:xfrm>
          <a:off x="0" y="20060478"/>
          <a:ext cx="5705475" cy="5089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Основные возможности Сервера лицензий</a:t>
          </a:r>
        </a:p>
        <a:p>
          <a:pPr algn="just"/>
          <a:r>
            <a:rPr lang="ru-RU" sz="1100" b="0" i="0" u="none" strike="noStrike" baseline="0">
              <a:solidFill>
                <a:schemeClr val="dk1"/>
              </a:solidFill>
              <a:latin typeface="+mn-lt"/>
              <a:ea typeface="+mn-ea"/>
              <a:cs typeface="Arial" panose="020B0604020202020204" pitchFamily="34" charset="0"/>
            </a:rPr>
            <a:t>• Мониторинг и информирование администраторов безопасности о состоянии технической поддержки по использующимся лицензиям, автоматизированный запрос стоимости продления технической поддержки.</a:t>
          </a:r>
        </a:p>
        <a:p>
          <a:pPr algn="just"/>
          <a:r>
            <a:rPr lang="ru-RU" sz="1100" b="0" i="0" u="none" strike="noStrike" baseline="0">
              <a:solidFill>
                <a:schemeClr val="dk1"/>
              </a:solidFill>
              <a:latin typeface="+mn-lt"/>
              <a:ea typeface="+mn-ea"/>
              <a:cs typeface="Arial" panose="020B0604020202020204" pitchFamily="34" charset="0"/>
            </a:rPr>
            <a:t>• Перераспределение квот на терминальные подключения между терминальными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серверами или на количество клиентов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между Серверами безопасности.</a:t>
          </a:r>
        </a:p>
        <a:p>
          <a:pPr algn="just"/>
          <a:r>
            <a:rPr lang="ru-RU" sz="1100" b="0" i="0" u="none" strike="noStrike" baseline="0">
              <a:solidFill>
                <a:schemeClr val="dk1"/>
              </a:solidFill>
              <a:latin typeface="+mn-lt"/>
              <a:ea typeface="+mn-ea"/>
              <a:cs typeface="Arial" panose="020B0604020202020204" pitchFamily="34" charset="0"/>
            </a:rPr>
            <a:t>• Создание новых доменов 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в рамках общей квоты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клиентских лицензий, назначение дополнительных терминальных серверов</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в рамках общей квоты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лицензий на терминальные подключения к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Перераспределение квот на количество процессоров гипервизоров для</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СЗИ ВИ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Сокращение затрат на внедрение, администрирование и модернизацию</a:t>
          </a:r>
          <a:r>
            <a:rPr lang="en-US" sz="1100" b="0" i="0" u="none" strike="noStrike" baseline="0">
              <a:solidFill>
                <a:schemeClr val="dk1"/>
              </a:solidFill>
              <a:latin typeface="+mn-lt"/>
              <a:ea typeface="+mn-ea"/>
              <a:cs typeface="Arial" panose="020B0604020202020204" pitchFamily="34" charset="0"/>
            </a:rPr>
            <a:t> Dallas Lock </a:t>
          </a:r>
          <a:r>
            <a:rPr lang="ru-RU" sz="1100" b="0" i="0" u="none" strike="noStrike" baseline="0">
              <a:solidFill>
                <a:schemeClr val="dk1"/>
              </a:solidFill>
              <a:latin typeface="+mn-lt"/>
              <a:ea typeface="+mn-ea"/>
              <a:cs typeface="Arial" panose="020B0604020202020204" pitchFamily="34" charset="0"/>
            </a:rPr>
            <a:t>в распределенных инфраструктурах.</a:t>
          </a:r>
        </a:p>
        <a:p>
          <a:pPr algn="just"/>
          <a:r>
            <a:rPr lang="ru-RU" sz="1100" b="0" i="0" u="none" strike="noStrike" baseline="0">
              <a:solidFill>
                <a:schemeClr val="dk1"/>
              </a:solidFill>
              <a:latin typeface="+mn-lt"/>
              <a:ea typeface="+mn-ea"/>
              <a:cs typeface="Arial" panose="020B0604020202020204" pitchFamily="34" charset="0"/>
            </a:rPr>
            <a:t>• Сокращение затрат на приобретение и обновление лицензий на Серверы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и терминальные подключения.</a:t>
          </a:r>
        </a:p>
        <a:p>
          <a:pPr algn="just"/>
          <a:r>
            <a:rPr lang="ru-RU" sz="1100" b="0" i="0" u="none" strike="noStrike" baseline="0">
              <a:solidFill>
                <a:schemeClr val="dk1"/>
              </a:solidFill>
              <a:latin typeface="+mn-lt"/>
              <a:ea typeface="+mn-ea"/>
              <a:cs typeface="Arial" panose="020B0604020202020204" pitchFamily="34" charset="0"/>
            </a:rPr>
            <a:t>• Повышение надежности комплексной системы защиты информации за счет</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создания</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реплицируемых доменов безопасности и работы с фермами терминальных серверов.</a:t>
          </a: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Сервер лицензий </a:t>
          </a:r>
          <a:r>
            <a:rPr lang="en-US" sz="1100" b="1" i="0" u="none" strike="noStrike" baseline="0">
              <a:solidFill>
                <a:schemeClr val="dk1"/>
              </a:solidFill>
              <a:latin typeface="+mn-lt"/>
              <a:ea typeface="+mn-ea"/>
              <a:cs typeface="Arial" panose="020B0604020202020204" pitchFamily="34" charset="0"/>
            </a:rPr>
            <a:t>Dallas Lock 8</a:t>
          </a:r>
        </a:p>
        <a:p>
          <a:pPr algn="just"/>
          <a:r>
            <a:rPr lang="ru-RU" sz="1100" b="0" i="0" u="none" strike="noStrike" baseline="0">
              <a:solidFill>
                <a:schemeClr val="dk1"/>
              </a:solidFill>
              <a:latin typeface="+mn-lt"/>
              <a:ea typeface="+mn-ea"/>
              <a:cs typeface="Arial" panose="020B0604020202020204" pitchFamily="34" charset="0"/>
            </a:rPr>
            <a:t>Рекомендуется применение в виртуализированной инфраструктуре, при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построении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отказоустойчивых терминальных систем и кластеров безопасности, а также при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необходимости гибкого перераспределения общей квоты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клиентских лицензий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между Серверами безопасности </a:t>
          </a:r>
          <a:r>
            <a:rPr lang="en-US" sz="1100" b="0" i="0" u="none" strike="noStrike" baseline="0">
              <a:solidFill>
                <a:schemeClr val="dk1"/>
              </a:solidFill>
              <a:latin typeface="+mn-lt"/>
              <a:ea typeface="+mn-ea"/>
              <a:cs typeface="Arial" panose="020B0604020202020204" pitchFamily="34" charset="0"/>
            </a:rPr>
            <a:t>Dallas Lock.</a:t>
          </a:r>
        </a:p>
        <a:p>
          <a:pPr algn="just"/>
          <a:endParaRPr lang="en-US" sz="1100" b="0" i="0" u="none" strike="noStrike" baseline="0">
            <a:solidFill>
              <a:schemeClr val="dk1"/>
            </a:solidFill>
            <a:latin typeface="+mn-lt"/>
            <a:ea typeface="+mn-ea"/>
            <a:cs typeface="Arial" panose="020B0604020202020204" pitchFamily="34" charset="0"/>
          </a:endParaRPr>
        </a:p>
        <a:p>
          <a:pPr algn="just"/>
          <a:r>
            <a:rPr lang="ru-RU" sz="1100" b="0" i="0" u="none" strike="noStrike" baseline="0">
              <a:solidFill>
                <a:schemeClr val="dk1"/>
              </a:solidFill>
              <a:latin typeface="+mn-lt"/>
              <a:ea typeface="+mn-ea"/>
              <a:cs typeface="Arial" panose="020B0604020202020204" pitchFamily="34" charset="0"/>
            </a:rPr>
            <a:t>Для функционирования Сервера лицензий необходимо приобретение лицензий на Серверы 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общая квота клиентских лицензий</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будет равна сумме квот по каждому Серверу безопасности) и лицензий на</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терминальные подключения.</a:t>
          </a:r>
        </a:p>
        <a:p>
          <a:pPr algn="just"/>
          <a:r>
            <a:rPr lang="ru-RU" sz="1100" b="0" i="0" u="none" strike="noStrike" baseline="0">
              <a:solidFill>
                <a:schemeClr val="dk1"/>
              </a:solidFill>
              <a:latin typeface="+mn-lt"/>
              <a:ea typeface="+mn-ea"/>
              <a:cs typeface="Arial" panose="020B0604020202020204" pitchFamily="34" charset="0"/>
            </a:rPr>
            <a:t>Для увеличения общей квоты клиентских лицензий необходимо приобретение</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лицензий на Сервер 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соответствующего диапазона.</a:t>
          </a:r>
          <a:endParaRPr lang="en-US"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2</xdr:col>
      <xdr:colOff>3909390</xdr:colOff>
      <xdr:row>79</xdr:row>
      <xdr:rowOff>16564</xdr:rowOff>
    </xdr:from>
    <xdr:to>
      <xdr:col>11</xdr:col>
      <xdr:colOff>760951</xdr:colOff>
      <xdr:row>109</xdr:row>
      <xdr:rowOff>107894</xdr:rowOff>
    </xdr:to>
    <xdr:sp macro="" textlink="">
      <xdr:nvSpPr>
        <xdr:cNvPr id="26" name="TextBox 25">
          <a:extLst>
            <a:ext uri="{FF2B5EF4-FFF2-40B4-BE49-F238E27FC236}">
              <a16:creationId xmlns:a16="http://schemas.microsoft.com/office/drawing/2014/main" xmlns="" id="{00000000-0008-0000-0900-00001A000000}"/>
            </a:ext>
          </a:extLst>
        </xdr:cNvPr>
        <xdr:cNvSpPr txBox="1"/>
      </xdr:nvSpPr>
      <xdr:spPr>
        <a:xfrm>
          <a:off x="5714999" y="20010781"/>
          <a:ext cx="6442822" cy="5806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Комплект поставки</a:t>
          </a:r>
        </a:p>
        <a:p>
          <a:pPr algn="just"/>
          <a:r>
            <a:rPr lang="ru-RU" sz="1100" b="0" i="0" u="none" strike="noStrike" baseline="0">
              <a:solidFill>
                <a:schemeClr val="dk1"/>
              </a:solidFill>
              <a:latin typeface="+mn-lt"/>
              <a:ea typeface="+mn-ea"/>
              <a:cs typeface="Arial" panose="020B0604020202020204" pitchFamily="34" charset="0"/>
            </a:rPr>
            <a:t>Включает одну лицензию на СЗИ </a:t>
          </a:r>
          <a:r>
            <a:rPr lang="en-US" sz="1100" b="0" i="0" u="none" strike="noStrike" baseline="0">
              <a:solidFill>
                <a:schemeClr val="dk1"/>
              </a:solidFill>
              <a:latin typeface="+mn-lt"/>
              <a:ea typeface="+mn-ea"/>
              <a:cs typeface="Arial" panose="020B0604020202020204" pitchFamily="34" charset="0"/>
            </a:rPr>
            <a:t>Dallas Lock 8.0 </a:t>
          </a:r>
          <a:r>
            <a:rPr lang="ru-RU" sz="1100" b="0" i="0" u="none" strike="noStrike" baseline="0">
              <a:solidFill>
                <a:schemeClr val="dk1"/>
              </a:solidFill>
              <a:latin typeface="+mn-lt"/>
              <a:ea typeface="+mn-ea"/>
              <a:cs typeface="Arial" panose="020B0604020202020204" pitchFamily="34" charset="0"/>
            </a:rPr>
            <a:t>соответствующей редакции</a:t>
          </a:r>
          <a:r>
            <a:rPr lang="en-US" sz="1100" b="0" i="0" u="none" strike="noStrike" baseline="0">
              <a:solidFill>
                <a:schemeClr val="dk1"/>
              </a:solidFill>
              <a:latin typeface="+mn-lt"/>
              <a:ea typeface="+mn-ea"/>
              <a:cs typeface="Arial" panose="020B0604020202020204" pitchFamily="34" charset="0"/>
            </a:rPr>
            <a:t> («K» </a:t>
          </a:r>
          <a:r>
            <a:rPr lang="ru-RU" sz="1100" b="0" i="0" u="none" strike="noStrike" baseline="0">
              <a:solidFill>
                <a:schemeClr val="dk1"/>
              </a:solidFill>
              <a:latin typeface="+mn-lt"/>
              <a:ea typeface="+mn-ea"/>
              <a:cs typeface="Arial" panose="020B0604020202020204" pitchFamily="34" charset="0"/>
            </a:rPr>
            <a:t>или «С»), сертифицированный комплект для установки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и лицензионный </a:t>
          </a:r>
          <a:r>
            <a:rPr lang="en-US" sz="1100" b="0" i="0" u="none" strike="noStrike" baseline="0">
              <a:solidFill>
                <a:schemeClr val="dk1"/>
              </a:solidFill>
              <a:latin typeface="+mn-lt"/>
              <a:ea typeface="+mn-ea"/>
              <a:cs typeface="Arial" panose="020B0604020202020204" pitchFamily="34" charset="0"/>
            </a:rPr>
            <a:t>USB-</a:t>
          </a:r>
          <a:r>
            <a:rPr lang="ru-RU" sz="1100" b="0" i="0" u="none" strike="noStrike" baseline="0">
              <a:solidFill>
                <a:schemeClr val="dk1"/>
              </a:solidFill>
              <a:latin typeface="+mn-lt"/>
              <a:ea typeface="+mn-ea"/>
              <a:cs typeface="Arial" panose="020B0604020202020204" pitchFamily="34" charset="0"/>
            </a:rPr>
            <a:t>ключ Сервера лицензий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с указанием максимального количества терминальных серверов и доменов безопасности, которыми можно управлять.</a:t>
          </a: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Техническая поддержка</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endParaRPr lang="ru-RU">
            <a:effectLst/>
          </a:endParaRPr>
        </a:p>
      </xdr:txBody>
    </xdr:sp>
    <xdr:clientData/>
  </xdr:twoCellAnchor>
  <xdr:twoCellAnchor editAs="oneCell">
    <xdr:from>
      <xdr:col>0</xdr:col>
      <xdr:colOff>16563</xdr:colOff>
      <xdr:row>110</xdr:row>
      <xdr:rowOff>0</xdr:rowOff>
    </xdr:from>
    <xdr:to>
      <xdr:col>12</xdr:col>
      <xdr:colOff>10992</xdr:colOff>
      <xdr:row>118</xdr:row>
      <xdr:rowOff>51604</xdr:rowOff>
    </xdr:to>
    <xdr:pic>
      <xdr:nvPicPr>
        <xdr:cNvPr id="27" name="Рисунок 26">
          <a:extLst>
            <a:ext uri="{FF2B5EF4-FFF2-40B4-BE49-F238E27FC236}">
              <a16:creationId xmlns:a16="http://schemas.microsoft.com/office/drawing/2014/main" xmlns="" id="{00000000-0008-0000-0900-00001B000000}"/>
            </a:ext>
          </a:extLst>
        </xdr:cNvPr>
        <xdr:cNvPicPr>
          <a:picLocks noChangeAspect="1"/>
        </xdr:cNvPicPr>
      </xdr:nvPicPr>
      <xdr:blipFill>
        <a:blip xmlns:r="http://schemas.openxmlformats.org/officeDocument/2006/relationships" r:embed="rId5"/>
        <a:stretch>
          <a:fillRect/>
        </a:stretch>
      </xdr:blipFill>
      <xdr:spPr>
        <a:xfrm>
          <a:off x="16563" y="25899717"/>
          <a:ext cx="12161581" cy="1575604"/>
        </a:xfrm>
        <a:prstGeom prst="rect">
          <a:avLst/>
        </a:prstGeom>
      </xdr:spPr>
    </xdr:pic>
    <xdr:clientData/>
  </xdr:twoCellAnchor>
  <xdr:twoCellAnchor>
    <xdr:from>
      <xdr:col>1</xdr:col>
      <xdr:colOff>0</xdr:colOff>
      <xdr:row>119</xdr:row>
      <xdr:rowOff>0</xdr:rowOff>
    </xdr:from>
    <xdr:to>
      <xdr:col>2</xdr:col>
      <xdr:colOff>3000444</xdr:colOff>
      <xdr:row>119</xdr:row>
      <xdr:rowOff>0</xdr:rowOff>
    </xdr:to>
    <xdr:cxnSp macro="">
      <xdr:nvCxnSpPr>
        <xdr:cNvPr id="28" name="Прямая соединительная линия 27">
          <a:extLst>
            <a:ext uri="{FF2B5EF4-FFF2-40B4-BE49-F238E27FC236}">
              <a16:creationId xmlns:a16="http://schemas.microsoft.com/office/drawing/2014/main" xmlns="" id="{00000000-0008-0000-0900-00001C000000}"/>
            </a:ext>
          </a:extLst>
        </xdr:cNvPr>
        <xdr:cNvCxnSpPr/>
      </xdr:nvCxnSpPr>
      <xdr:spPr>
        <a:xfrm>
          <a:off x="82826" y="27614217"/>
          <a:ext cx="47232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119</xdr:row>
      <xdr:rowOff>49696</xdr:rowOff>
    </xdr:from>
    <xdr:to>
      <xdr:col>11</xdr:col>
      <xdr:colOff>680830</xdr:colOff>
      <xdr:row>122</xdr:row>
      <xdr:rowOff>106668</xdr:rowOff>
    </xdr:to>
    <xdr:sp macro="" textlink="">
      <xdr:nvSpPr>
        <xdr:cNvPr id="29" name="TextBox 28">
          <a:extLst>
            <a:ext uri="{FF2B5EF4-FFF2-40B4-BE49-F238E27FC236}">
              <a16:creationId xmlns:a16="http://schemas.microsoft.com/office/drawing/2014/main" xmlns="" id="{00000000-0008-0000-0900-00001D000000}"/>
            </a:ext>
          </a:extLst>
        </xdr:cNvPr>
        <xdr:cNvSpPr txBox="1"/>
      </xdr:nvSpPr>
      <xdr:spPr>
        <a:xfrm>
          <a:off x="0" y="27663913"/>
          <a:ext cx="12077700" cy="628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используеме программное обеспечение не облагается НДС</a:t>
          </a:r>
          <a:r>
            <a:rPr lang="en-US" sz="1100" b="0" i="0" u="none" strike="noStrike" baseline="0">
              <a:solidFill>
                <a:schemeClr val="dk1"/>
              </a:solidFill>
              <a:latin typeface="+mn-lt"/>
              <a:ea typeface="+mn-ea"/>
              <a:cs typeface="Arial" panose="020B0604020202020204" pitchFamily="34" charset="0"/>
            </a:rPr>
            <a:t>; </a:t>
          </a:r>
        </a:p>
        <a:p>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16</xdr:row>
      <xdr:rowOff>76759</xdr:rowOff>
    </xdr:from>
    <xdr:to>
      <xdr:col>2</xdr:col>
      <xdr:colOff>3905250</xdr:colOff>
      <xdr:row>43</xdr:row>
      <xdr:rowOff>22412</xdr:rowOff>
    </xdr:to>
    <xdr:sp macro="" textlink="">
      <xdr:nvSpPr>
        <xdr:cNvPr id="4" name="TextBox 3">
          <a:extLst>
            <a:ext uri="{FF2B5EF4-FFF2-40B4-BE49-F238E27FC236}">
              <a16:creationId xmlns:a16="http://schemas.microsoft.com/office/drawing/2014/main" xmlns="" id="{00000000-0008-0000-0A00-000004000000}"/>
            </a:ext>
          </a:extLst>
        </xdr:cNvPr>
        <xdr:cNvSpPr txBox="1"/>
      </xdr:nvSpPr>
      <xdr:spPr>
        <a:xfrm>
          <a:off x="99172" y="6273612"/>
          <a:ext cx="5711078" cy="5089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Основные возможности Сервера лицензий</a:t>
          </a:r>
        </a:p>
        <a:p>
          <a:pPr algn="just"/>
          <a:r>
            <a:rPr lang="ru-RU" sz="1100" b="0" i="0" u="none" strike="noStrike" baseline="0">
              <a:solidFill>
                <a:schemeClr val="dk1"/>
              </a:solidFill>
              <a:latin typeface="+mn-lt"/>
              <a:ea typeface="+mn-ea"/>
              <a:cs typeface="Arial" panose="020B0604020202020204" pitchFamily="34" charset="0"/>
            </a:rPr>
            <a:t>• Мониторинг и информирование администраторов безопасности о состоянии технической поддержки по использующимся лицензиям, автоматизированный запрос стоимости продления технической поддержки.</a:t>
          </a:r>
        </a:p>
        <a:p>
          <a:pPr algn="just"/>
          <a:r>
            <a:rPr lang="ru-RU" sz="1100" b="0" i="0" u="none" strike="noStrike" baseline="0">
              <a:solidFill>
                <a:schemeClr val="dk1"/>
              </a:solidFill>
              <a:latin typeface="+mn-lt"/>
              <a:ea typeface="+mn-ea"/>
              <a:cs typeface="Arial" panose="020B0604020202020204" pitchFamily="34" charset="0"/>
            </a:rPr>
            <a:t>• Перераспределение квот на терминальные подключения между терминальными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серверами или на количество клиентов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между Серверами безопасности.</a:t>
          </a:r>
        </a:p>
        <a:p>
          <a:pPr algn="just"/>
          <a:r>
            <a:rPr lang="ru-RU" sz="1100" b="0" i="0" u="none" strike="noStrike" baseline="0">
              <a:solidFill>
                <a:schemeClr val="dk1"/>
              </a:solidFill>
              <a:latin typeface="+mn-lt"/>
              <a:ea typeface="+mn-ea"/>
              <a:cs typeface="Arial" panose="020B0604020202020204" pitchFamily="34" charset="0"/>
            </a:rPr>
            <a:t>• Создание новых доменов 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в рамках общей квоты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клиентских лицензий, назначение дополнительных терминальных серверов</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в рамках общей квоты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лицензий на терминальные подключения к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Перераспределение квот на количество процессоров гипервизоров для</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СЗИ ВИ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Сокращение затрат на внедрение, администрирование и модернизацию</a:t>
          </a:r>
          <a:r>
            <a:rPr lang="en-US" sz="1100" b="0" i="0" u="none" strike="noStrike" baseline="0">
              <a:solidFill>
                <a:schemeClr val="dk1"/>
              </a:solidFill>
              <a:latin typeface="+mn-lt"/>
              <a:ea typeface="+mn-ea"/>
              <a:cs typeface="Arial" panose="020B0604020202020204" pitchFamily="34" charset="0"/>
            </a:rPr>
            <a:t> Dallas Lock </a:t>
          </a:r>
          <a:r>
            <a:rPr lang="ru-RU" sz="1100" b="0" i="0" u="none" strike="noStrike" baseline="0">
              <a:solidFill>
                <a:schemeClr val="dk1"/>
              </a:solidFill>
              <a:latin typeface="+mn-lt"/>
              <a:ea typeface="+mn-ea"/>
              <a:cs typeface="Arial" panose="020B0604020202020204" pitchFamily="34" charset="0"/>
            </a:rPr>
            <a:t>в распределенных инфраструктурах.</a:t>
          </a:r>
        </a:p>
        <a:p>
          <a:pPr algn="just"/>
          <a:r>
            <a:rPr lang="ru-RU" sz="1100" b="0" i="0" u="none" strike="noStrike" baseline="0">
              <a:solidFill>
                <a:schemeClr val="dk1"/>
              </a:solidFill>
              <a:latin typeface="+mn-lt"/>
              <a:ea typeface="+mn-ea"/>
              <a:cs typeface="Arial" panose="020B0604020202020204" pitchFamily="34" charset="0"/>
            </a:rPr>
            <a:t>• Сокращение затрат на приобретение и обновление лицензий на Серверы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и терминальные подключения.</a:t>
          </a:r>
        </a:p>
        <a:p>
          <a:pPr algn="just"/>
          <a:r>
            <a:rPr lang="ru-RU" sz="1100" b="0" i="0" u="none" strike="noStrike" baseline="0">
              <a:solidFill>
                <a:schemeClr val="dk1"/>
              </a:solidFill>
              <a:latin typeface="+mn-lt"/>
              <a:ea typeface="+mn-ea"/>
              <a:cs typeface="Arial" panose="020B0604020202020204" pitchFamily="34" charset="0"/>
            </a:rPr>
            <a:t>• Повышение надежности комплексной системы защиты информации за счет</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создания</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реплицируемых доменов безопасности и работы с фермами терминальных серверов.</a:t>
          </a: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Сервер лицензий </a:t>
          </a:r>
          <a:r>
            <a:rPr lang="en-US" sz="1100" b="1" i="0" u="none" strike="noStrike" baseline="0">
              <a:solidFill>
                <a:schemeClr val="dk1"/>
              </a:solidFill>
              <a:latin typeface="+mn-lt"/>
              <a:ea typeface="+mn-ea"/>
              <a:cs typeface="Arial" panose="020B0604020202020204" pitchFamily="34" charset="0"/>
            </a:rPr>
            <a:t>Dallas Lock 8</a:t>
          </a:r>
        </a:p>
        <a:p>
          <a:pPr algn="just"/>
          <a:r>
            <a:rPr lang="ru-RU" sz="1100" b="0" i="0" u="none" strike="noStrike" baseline="0">
              <a:solidFill>
                <a:schemeClr val="dk1"/>
              </a:solidFill>
              <a:latin typeface="+mn-lt"/>
              <a:ea typeface="+mn-ea"/>
              <a:cs typeface="Arial" panose="020B0604020202020204" pitchFamily="34" charset="0"/>
            </a:rPr>
            <a:t>Рекомендуется применение в виртуализированной инфраструктуре, при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построении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отказоустойчивых терминальных систем и кластеров безопасности, а также при</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необходимости гибкого перераспределения общей квоты</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клиентских лицензий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между Серверами безопасности </a:t>
          </a:r>
          <a:r>
            <a:rPr lang="en-US" sz="1100" b="0" i="0" u="none" strike="noStrike" baseline="0">
              <a:solidFill>
                <a:schemeClr val="dk1"/>
              </a:solidFill>
              <a:latin typeface="+mn-lt"/>
              <a:ea typeface="+mn-ea"/>
              <a:cs typeface="Arial" panose="020B0604020202020204" pitchFamily="34" charset="0"/>
            </a:rPr>
            <a:t>Dallas Lock.</a:t>
          </a:r>
        </a:p>
        <a:p>
          <a:pPr algn="just"/>
          <a:endParaRPr lang="en-US" sz="1100" b="0" i="0" u="none" strike="noStrike" baseline="0">
            <a:solidFill>
              <a:schemeClr val="dk1"/>
            </a:solidFill>
            <a:latin typeface="+mn-lt"/>
            <a:ea typeface="+mn-ea"/>
            <a:cs typeface="Arial" panose="020B0604020202020204" pitchFamily="34" charset="0"/>
          </a:endParaRPr>
        </a:p>
        <a:p>
          <a:pPr algn="just"/>
          <a:r>
            <a:rPr lang="ru-RU" sz="1100" b="0" i="0" u="none" strike="noStrike" baseline="0">
              <a:solidFill>
                <a:schemeClr val="dk1"/>
              </a:solidFill>
              <a:latin typeface="+mn-lt"/>
              <a:ea typeface="+mn-ea"/>
              <a:cs typeface="Arial" panose="020B0604020202020204" pitchFamily="34" charset="0"/>
            </a:rPr>
            <a:t>Для функционирования Сервера лицензий необходимо приобретение лицензий на Серверы 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общая квота клиентских лицензий</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будет равна сумме квот по каждому Серверу безопасности) и лицензий на</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терминальные подключения.</a:t>
          </a:r>
        </a:p>
        <a:p>
          <a:pPr algn="just"/>
          <a:r>
            <a:rPr lang="ru-RU" sz="1100" b="0" i="0" u="none" strike="noStrike" baseline="0">
              <a:solidFill>
                <a:schemeClr val="dk1"/>
              </a:solidFill>
              <a:latin typeface="+mn-lt"/>
              <a:ea typeface="+mn-ea"/>
              <a:cs typeface="Arial" panose="020B0604020202020204" pitchFamily="34" charset="0"/>
            </a:rPr>
            <a:t>Для увеличения общей квоты клиентских лицензий необходимо приобретение</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лицензий на Сервер безопасности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соответствующего диапазона.</a:t>
          </a:r>
          <a:endParaRPr lang="en-US"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3</xdr:col>
      <xdr:colOff>61633</xdr:colOff>
      <xdr:row>16</xdr:row>
      <xdr:rowOff>76759</xdr:rowOff>
    </xdr:from>
    <xdr:to>
      <xdr:col>12</xdr:col>
      <xdr:colOff>56030</xdr:colOff>
      <xdr:row>46</xdr:row>
      <xdr:rowOff>168089</xdr:rowOff>
    </xdr:to>
    <xdr:sp macro="" textlink="">
      <xdr:nvSpPr>
        <xdr:cNvPr id="5" name="TextBox 4">
          <a:extLst>
            <a:ext uri="{FF2B5EF4-FFF2-40B4-BE49-F238E27FC236}">
              <a16:creationId xmlns:a16="http://schemas.microsoft.com/office/drawing/2014/main" xmlns="" id="{00000000-0008-0000-0A00-000005000000}"/>
            </a:ext>
          </a:extLst>
        </xdr:cNvPr>
        <xdr:cNvSpPr txBox="1"/>
      </xdr:nvSpPr>
      <xdr:spPr>
        <a:xfrm>
          <a:off x="5877486" y="6475318"/>
          <a:ext cx="6460191" cy="58063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Комплект поставки</a:t>
          </a:r>
        </a:p>
        <a:p>
          <a:pPr algn="just"/>
          <a:r>
            <a:rPr lang="ru-RU" sz="1100" b="0" i="0" u="none" strike="noStrike" baseline="0">
              <a:solidFill>
                <a:schemeClr val="dk1"/>
              </a:solidFill>
              <a:latin typeface="+mn-lt"/>
              <a:ea typeface="+mn-ea"/>
              <a:cs typeface="Arial" panose="020B0604020202020204" pitchFamily="34" charset="0"/>
            </a:rPr>
            <a:t>Включает одну лицензию на СЗИ </a:t>
          </a:r>
          <a:r>
            <a:rPr lang="en-US" sz="1100" b="0" i="0" u="none" strike="noStrike" baseline="0">
              <a:solidFill>
                <a:schemeClr val="dk1"/>
              </a:solidFill>
              <a:latin typeface="+mn-lt"/>
              <a:ea typeface="+mn-ea"/>
              <a:cs typeface="Arial" panose="020B0604020202020204" pitchFamily="34" charset="0"/>
            </a:rPr>
            <a:t>Dallas Lock 8.0 </a:t>
          </a:r>
          <a:r>
            <a:rPr lang="ru-RU" sz="1100" b="0" i="0" u="none" strike="noStrike" baseline="0">
              <a:solidFill>
                <a:schemeClr val="dk1"/>
              </a:solidFill>
              <a:latin typeface="+mn-lt"/>
              <a:ea typeface="+mn-ea"/>
              <a:cs typeface="Arial" panose="020B0604020202020204" pitchFamily="34" charset="0"/>
            </a:rPr>
            <a:t>соответствующей редакции</a:t>
          </a:r>
          <a:r>
            <a:rPr lang="en-US" sz="1100" b="0" i="0" u="none" strike="noStrike" baseline="0">
              <a:solidFill>
                <a:schemeClr val="dk1"/>
              </a:solidFill>
              <a:latin typeface="+mn-lt"/>
              <a:ea typeface="+mn-ea"/>
              <a:cs typeface="Arial" panose="020B0604020202020204" pitchFamily="34" charset="0"/>
            </a:rPr>
            <a:t> («K» </a:t>
          </a:r>
          <a:r>
            <a:rPr lang="ru-RU" sz="1100" b="0" i="0" u="none" strike="noStrike" baseline="0">
              <a:solidFill>
                <a:schemeClr val="dk1"/>
              </a:solidFill>
              <a:latin typeface="+mn-lt"/>
              <a:ea typeface="+mn-ea"/>
              <a:cs typeface="Arial" panose="020B0604020202020204" pitchFamily="34" charset="0"/>
            </a:rPr>
            <a:t>или «С»), сертифицированный комплект для установки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и лицензионный </a:t>
          </a:r>
          <a:r>
            <a:rPr lang="en-US" sz="1100" b="0" i="0" u="none" strike="noStrike" baseline="0">
              <a:solidFill>
                <a:schemeClr val="dk1"/>
              </a:solidFill>
              <a:latin typeface="+mn-lt"/>
              <a:ea typeface="+mn-ea"/>
              <a:cs typeface="Arial" panose="020B0604020202020204" pitchFamily="34" charset="0"/>
            </a:rPr>
            <a:t>USB-</a:t>
          </a:r>
          <a:r>
            <a:rPr lang="ru-RU" sz="1100" b="0" i="0" u="none" strike="noStrike" baseline="0">
              <a:solidFill>
                <a:schemeClr val="dk1"/>
              </a:solidFill>
              <a:latin typeface="+mn-lt"/>
              <a:ea typeface="+mn-ea"/>
              <a:cs typeface="Arial" panose="020B0604020202020204" pitchFamily="34" charset="0"/>
            </a:rPr>
            <a:t>ключ Сервера лицензий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с указанием максимального количества терминальных серверов и доменов безопасности, которыми можно управлять.</a:t>
          </a: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Техническая поддержка</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endParaRPr lang="ru-RU">
            <a:effectLst/>
          </a:endParaRPr>
        </a:p>
      </xdr:txBody>
    </xdr:sp>
    <xdr:clientData/>
  </xdr:twoCellAnchor>
  <xdr:twoCellAnchor>
    <xdr:from>
      <xdr:col>1</xdr:col>
      <xdr:colOff>9525</xdr:colOff>
      <xdr:row>56</xdr:row>
      <xdr:rowOff>4814</xdr:rowOff>
    </xdr:from>
    <xdr:to>
      <xdr:col>11</xdr:col>
      <xdr:colOff>9525</xdr:colOff>
      <xdr:row>60</xdr:row>
      <xdr:rowOff>33620</xdr:rowOff>
    </xdr:to>
    <xdr:grpSp>
      <xdr:nvGrpSpPr>
        <xdr:cNvPr id="6" name="Группа 5">
          <a:extLst>
            <a:ext uri="{FF2B5EF4-FFF2-40B4-BE49-F238E27FC236}">
              <a16:creationId xmlns:a16="http://schemas.microsoft.com/office/drawing/2014/main" xmlns="" id="{00000000-0008-0000-0A00-000006000000}"/>
            </a:ext>
          </a:extLst>
        </xdr:cNvPr>
        <xdr:cNvGrpSpPr/>
      </xdr:nvGrpSpPr>
      <xdr:grpSpPr>
        <a:xfrm>
          <a:off x="100965" y="13998944"/>
          <a:ext cx="13102590" cy="760326"/>
          <a:chOff x="9525" y="12081158"/>
          <a:chExt cx="12372975" cy="852546"/>
        </a:xfrm>
      </xdr:grpSpPr>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9525" y="12256166"/>
            <a:ext cx="12372975" cy="67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используеме программное обеспечение не облагается НДС</a:t>
            </a:r>
            <a:r>
              <a:rPr lang="en-US" sz="1100" b="0" i="0" u="none" strike="noStrike" baseline="0">
                <a:solidFill>
                  <a:schemeClr val="dk1"/>
                </a:solidFill>
                <a:latin typeface="+mn-lt"/>
                <a:ea typeface="+mn-ea"/>
                <a:cs typeface="Arial" panose="020B0604020202020204" pitchFamily="34" charset="0"/>
              </a:rPr>
              <a:t>; </a:t>
            </a:r>
          </a:p>
          <a:p>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xdr:txBody>
      </xdr:sp>
      <xdr:cxnSp macro="">
        <xdr:nvCxnSpPr>
          <xdr:cNvPr id="8" name="Прямая соединительная линия 7">
            <a:extLst>
              <a:ext uri="{FF2B5EF4-FFF2-40B4-BE49-F238E27FC236}">
                <a16:creationId xmlns:a16="http://schemas.microsoft.com/office/drawing/2014/main" xmlns="" id="{00000000-0008-0000-0A00-000008000000}"/>
              </a:ext>
            </a:extLst>
          </xdr:cNvPr>
          <xdr:cNvCxnSpPr/>
        </xdr:nvCxnSpPr>
        <xdr:spPr>
          <a:xfrm>
            <a:off x="76200" y="12081158"/>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xdr:col>
      <xdr:colOff>0</xdr:colOff>
      <xdr:row>46</xdr:row>
      <xdr:rowOff>149479</xdr:rowOff>
    </xdr:from>
    <xdr:to>
      <xdr:col>11</xdr:col>
      <xdr:colOff>83881</xdr:colOff>
      <xdr:row>55</xdr:row>
      <xdr:rowOff>10583</xdr:rowOff>
    </xdr:to>
    <xdr:pic>
      <xdr:nvPicPr>
        <xdr:cNvPr id="10" name="Рисунок 9">
          <a:extLst>
            <a:ext uri="{FF2B5EF4-FFF2-40B4-BE49-F238E27FC236}">
              <a16:creationId xmlns:a16="http://schemas.microsoft.com/office/drawing/2014/main" xmlns="" id="{00000000-0008-0000-0A00-00000A000000}"/>
            </a:ext>
          </a:extLst>
        </xdr:cNvPr>
        <xdr:cNvPicPr>
          <a:picLocks noChangeAspect="1"/>
        </xdr:cNvPicPr>
      </xdr:nvPicPr>
      <xdr:blipFill>
        <a:blip xmlns:r="http://schemas.openxmlformats.org/officeDocument/2006/relationships" r:embed="rId1"/>
        <a:stretch>
          <a:fillRect/>
        </a:stretch>
      </xdr:blipFill>
      <xdr:spPr>
        <a:xfrm>
          <a:off x="84667" y="12648396"/>
          <a:ext cx="12180631" cy="157560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3695700</xdr:colOff>
          <xdr:row>4</xdr:row>
          <xdr:rowOff>85725</xdr:rowOff>
        </xdr:from>
        <xdr:to>
          <xdr:col>3</xdr:col>
          <xdr:colOff>0</xdr:colOff>
          <xdr:row>6</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xmlns=""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313764</xdr:colOff>
      <xdr:row>2</xdr:row>
      <xdr:rowOff>112059</xdr:rowOff>
    </xdr:from>
    <xdr:to>
      <xdr:col>3</xdr:col>
      <xdr:colOff>499523</xdr:colOff>
      <xdr:row>2</xdr:row>
      <xdr:rowOff>297818</xdr:rowOff>
    </xdr:to>
    <xdr:pic>
      <xdr:nvPicPr>
        <xdr:cNvPr id="11" name="Рисунок 10">
          <a:extLst>
            <a:ext uri="{FF2B5EF4-FFF2-40B4-BE49-F238E27FC236}">
              <a16:creationId xmlns:a16="http://schemas.microsoft.com/office/drawing/2014/main" xmlns="" id="{00000000-0008-0000-0A00-00000B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6129617" y="1389530"/>
          <a:ext cx="185759" cy="185759"/>
        </a:xfrm>
        <a:prstGeom prst="rect">
          <a:avLst/>
        </a:prstGeom>
      </xdr:spPr>
    </xdr:pic>
    <xdr:clientData/>
  </xdr:twoCellAnchor>
  <xdr:twoCellAnchor>
    <xdr:from>
      <xdr:col>2</xdr:col>
      <xdr:colOff>152400</xdr:colOff>
      <xdr:row>2</xdr:row>
      <xdr:rowOff>57150</xdr:rowOff>
    </xdr:from>
    <xdr:to>
      <xdr:col>18</xdr:col>
      <xdr:colOff>231882</xdr:colOff>
      <xdr:row>3</xdr:row>
      <xdr:rowOff>77162</xdr:rowOff>
    </xdr:to>
    <xdr:sp macro="" textlink="">
      <xdr:nvSpPr>
        <xdr:cNvPr id="12" name="Прямоугольник 11">
          <a:hlinkClick xmlns:r="http://schemas.openxmlformats.org/officeDocument/2006/relationships" r:id="rId3"/>
          <a:extLst>
            <a:ext uri="{FF2B5EF4-FFF2-40B4-BE49-F238E27FC236}">
              <a16:creationId xmlns:a16="http://schemas.microsoft.com/office/drawing/2014/main" xmlns="" id="{00000000-0008-0000-0A00-00000C000000}"/>
            </a:ext>
          </a:extLst>
        </xdr:cNvPr>
        <xdr:cNvSpPr/>
      </xdr:nvSpPr>
      <xdr:spPr>
        <a:xfrm>
          <a:off x="2047875" y="1333500"/>
          <a:ext cx="12261957" cy="3819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0</xdr:colOff>
      <xdr:row>0</xdr:row>
      <xdr:rowOff>0</xdr:rowOff>
    </xdr:from>
    <xdr:to>
      <xdr:col>11</xdr:col>
      <xdr:colOff>9524</xdr:colOff>
      <xdr:row>1</xdr:row>
      <xdr:rowOff>1081945</xdr:rowOff>
    </xdr:to>
    <xdr:pic>
      <xdr:nvPicPr>
        <xdr:cNvPr id="13" name="Рисунок 12">
          <a:hlinkClick xmlns:r="http://schemas.openxmlformats.org/officeDocument/2006/relationships" r:id="rId4"/>
          <a:extLst>
            <a:ext uri="{FF2B5EF4-FFF2-40B4-BE49-F238E27FC236}">
              <a16:creationId xmlns:a16="http://schemas.microsoft.com/office/drawing/2014/main" xmlns="" id="{00000000-0008-0000-0A00-00000D000000}"/>
            </a:ext>
          </a:extLst>
        </xdr:cNvPr>
        <xdr:cNvPicPr>
          <a:picLocks noChangeAspect="1"/>
        </xdr:cNvPicPr>
      </xdr:nvPicPr>
      <xdr:blipFill>
        <a:blip xmlns:r="http://schemas.openxmlformats.org/officeDocument/2006/relationships" r:embed="rId5"/>
        <a:stretch>
          <a:fillRect/>
        </a:stretch>
      </xdr:blipFill>
      <xdr:spPr>
        <a:xfrm>
          <a:off x="0" y="0"/>
          <a:ext cx="12201524" cy="1272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190500</xdr:colOff>
          <xdr:row>4</xdr:row>
          <xdr:rowOff>95250</xdr:rowOff>
        </xdr:from>
        <xdr:to>
          <xdr:col>10</xdr:col>
          <xdr:colOff>447675</xdr:colOff>
          <xdr:row>6</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xmlns=""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14</xdr:row>
      <xdr:rowOff>21166</xdr:rowOff>
    </xdr:from>
    <xdr:to>
      <xdr:col>12</xdr:col>
      <xdr:colOff>10583</xdr:colOff>
      <xdr:row>14</xdr:row>
      <xdr:rowOff>551875</xdr:rowOff>
    </xdr:to>
    <xdr:pic>
      <xdr:nvPicPr>
        <xdr:cNvPr id="9" name="Рисунок 8">
          <a:extLst>
            <a:ext uri="{FF2B5EF4-FFF2-40B4-BE49-F238E27FC236}">
              <a16:creationId xmlns:a16="http://schemas.microsoft.com/office/drawing/2014/main" xmlns="" id="{00000000-0008-0000-0A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6053666"/>
          <a:ext cx="12276666" cy="53070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23</xdr:row>
      <xdr:rowOff>23131</xdr:rowOff>
    </xdr:from>
    <xdr:to>
      <xdr:col>3</xdr:col>
      <xdr:colOff>4082</xdr:colOff>
      <xdr:row>44</xdr:row>
      <xdr:rowOff>83246</xdr:rowOff>
    </xdr:to>
    <xdr:sp macro="" textlink="">
      <xdr:nvSpPr>
        <xdr:cNvPr id="4" name="TextBox 3">
          <a:extLst>
            <a:ext uri="{FF2B5EF4-FFF2-40B4-BE49-F238E27FC236}">
              <a16:creationId xmlns:a16="http://schemas.microsoft.com/office/drawing/2014/main" xmlns="" id="{00000000-0008-0000-0B00-000004000000}"/>
            </a:ext>
          </a:extLst>
        </xdr:cNvPr>
        <xdr:cNvSpPr txBox="1"/>
      </xdr:nvSpPr>
      <xdr:spPr>
        <a:xfrm>
          <a:off x="91168" y="7656738"/>
          <a:ext cx="5682343" cy="40606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0" i="0" u="none" strike="noStrike" baseline="0">
              <a:solidFill>
                <a:schemeClr val="dk1"/>
              </a:solidFill>
              <a:latin typeface="+mn-lt"/>
              <a:ea typeface="+mn-ea"/>
              <a:cs typeface="Arial" panose="020B0604020202020204" pitchFamily="34" charset="0"/>
            </a:rPr>
            <a:t>• В стоимость входит НДС 20%.</a:t>
          </a:r>
        </a:p>
        <a:p>
          <a:pPr algn="just"/>
          <a:r>
            <a:rPr lang="ru-RU" sz="1100" b="0" i="0" u="none" strike="noStrike" baseline="0">
              <a:solidFill>
                <a:schemeClr val="dk1"/>
              </a:solidFill>
              <a:latin typeface="+mn-lt"/>
              <a:ea typeface="+mn-ea"/>
              <a:cs typeface="Arial" panose="020B0604020202020204" pitchFamily="34" charset="0"/>
            </a:rPr>
            <a:t>• Цены указаны без учета командировочных расходов.</a:t>
          </a:r>
        </a:p>
        <a:p>
          <a:pPr algn="just"/>
          <a:r>
            <a:rPr lang="ru-RU" sz="1100" b="0" i="0" u="none" strike="noStrike" baseline="0">
              <a:solidFill>
                <a:schemeClr val="dk1"/>
              </a:solidFill>
              <a:latin typeface="+mn-lt"/>
              <a:ea typeface="+mn-ea"/>
              <a:cs typeface="Arial" panose="020B0604020202020204" pitchFamily="34" charset="0"/>
            </a:rPr>
            <a:t>• Трудоемкость расширенной настройки (в т. ч. настройки Сервера лицензий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зависит от политики безопасности, конфигурации сети, количества пользователей и т. д.</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Стоимость работ определяется по запросу.</a:t>
          </a:r>
        </a:p>
        <a:p>
          <a:pPr algn="just"/>
          <a:r>
            <a:rPr lang="ru-RU" sz="1100" b="0" i="0" u="none" strike="noStrike" baseline="0">
              <a:solidFill>
                <a:schemeClr val="dk1"/>
              </a:solidFill>
              <a:latin typeface="+mn-lt"/>
              <a:ea typeface="+mn-ea"/>
              <a:cs typeface="Arial" panose="020B0604020202020204" pitchFamily="34" charset="0"/>
            </a:rPr>
            <a:t>• Минимальная стоимость услуг по установке и базовой настройке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составляет 10 000 рублей с НДС.</a:t>
          </a: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Для оказания услуг по установке и настройке заказчик должен обеспечить следующие условия:</a:t>
          </a:r>
        </a:p>
        <a:p>
          <a:pPr algn="just"/>
          <a:r>
            <a:rPr lang="ru-RU" sz="1100" b="0" i="0" u="none" strike="noStrike" baseline="0">
              <a:solidFill>
                <a:schemeClr val="dk1"/>
              </a:solidFill>
              <a:latin typeface="+mn-lt"/>
              <a:ea typeface="+mn-ea"/>
              <a:cs typeface="Arial" panose="020B0604020202020204" pitchFamily="34" charset="0"/>
            </a:rPr>
            <a:t>• Предоставить рабочие станции с установленной ОС из списка поддерживаемых данной версией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включая </a:t>
          </a:r>
          <a:r>
            <a:rPr lang="en-US" sz="1100" b="0" i="0" u="none" strike="noStrike" baseline="0">
              <a:solidFill>
                <a:schemeClr val="dk1"/>
              </a:solidFill>
              <a:latin typeface="+mn-lt"/>
              <a:ea typeface="+mn-ea"/>
              <a:cs typeface="Arial" panose="020B0604020202020204" pitchFamily="34" charset="0"/>
            </a:rPr>
            <a:t>Service Pack </a:t>
          </a:r>
          <a:r>
            <a:rPr lang="ru-RU" sz="1100" b="0" i="0" u="none" strike="noStrike" baseline="0">
              <a:solidFill>
                <a:schemeClr val="dk1"/>
              </a:solidFill>
              <a:latin typeface="+mn-lt"/>
              <a:ea typeface="+mn-ea"/>
              <a:cs typeface="Arial" panose="020B0604020202020204" pitchFamily="34" charset="0"/>
            </a:rPr>
            <a:t>и обновления.</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ОС должна быть</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установлена в соответствии с требованиями документации к СЗИ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На рабочих станциях должно быть установлено все необходимое ПО (офис,</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антивирус и т.д.).</a:t>
          </a:r>
        </a:p>
        <a:p>
          <a:pPr algn="just"/>
          <a:r>
            <a:rPr lang="ru-RU" sz="1100" b="0" i="0" u="none" strike="noStrike" baseline="0">
              <a:solidFill>
                <a:schemeClr val="dk1"/>
              </a:solidFill>
              <a:latin typeface="+mn-lt"/>
              <a:ea typeface="+mn-ea"/>
              <a:cs typeface="Arial" panose="020B0604020202020204" pitchFamily="34" charset="0"/>
            </a:rPr>
            <a:t>• Если предполагается сетевое использование рабочих станций, то на них</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должна быть установлена </a:t>
          </a:r>
          <a:r>
            <a:rPr lang="en-US" sz="1100" b="0" i="0" u="none" strike="noStrike" baseline="0">
              <a:solidFill>
                <a:schemeClr val="dk1"/>
              </a:solidFill>
              <a:latin typeface="+mn-lt"/>
              <a:ea typeface="+mn-ea"/>
              <a:cs typeface="Arial" panose="020B0604020202020204" pitchFamily="34" charset="0"/>
            </a:rPr>
            <a:t>TCP/IP-</a:t>
          </a:r>
          <a:r>
            <a:rPr lang="ru-RU" sz="1100" b="0" i="0" u="none" strike="noStrike" baseline="0">
              <a:solidFill>
                <a:schemeClr val="dk1"/>
              </a:solidFill>
              <a:latin typeface="+mn-lt"/>
              <a:ea typeface="+mn-ea"/>
              <a:cs typeface="Arial" panose="020B0604020202020204" pitchFamily="34" charset="0"/>
            </a:rPr>
            <a:t>сеть. В сети должна быть правильно работающая </a:t>
          </a:r>
          <a:r>
            <a:rPr lang="en-US" sz="1100" b="0" i="0" u="none" strike="noStrike" baseline="0">
              <a:solidFill>
                <a:schemeClr val="dk1"/>
              </a:solidFill>
              <a:latin typeface="+mn-lt"/>
              <a:ea typeface="+mn-ea"/>
              <a:cs typeface="Arial" panose="020B0604020202020204" pitchFamily="34" charset="0"/>
            </a:rPr>
            <a:t>DNS, </a:t>
          </a:r>
          <a:r>
            <a:rPr lang="ru-RU" sz="1100" b="0" i="0" u="none" strike="noStrike" baseline="0">
              <a:solidFill>
                <a:schemeClr val="dk1"/>
              </a:solidFill>
              <a:latin typeface="+mn-lt"/>
              <a:ea typeface="+mn-ea"/>
              <a:cs typeface="Arial" panose="020B0604020202020204" pitchFamily="34" charset="0"/>
            </a:rPr>
            <a:t>межсетевые экраны не должны блокировать порты, используемые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для сетевого взаимодействия.</a:t>
          </a:r>
        </a:p>
        <a:p>
          <a:pPr algn="just"/>
          <a:r>
            <a:rPr lang="ru-RU" sz="1100" b="0" i="0" u="none" strike="noStrike" baseline="0">
              <a:solidFill>
                <a:schemeClr val="dk1"/>
              </a:solidFill>
              <a:latin typeface="+mn-lt"/>
              <a:ea typeface="+mn-ea"/>
              <a:cs typeface="Arial" panose="020B0604020202020204" pitchFamily="34" charset="0"/>
            </a:rPr>
            <a:t>• Если планируется установка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на контроллер домена, то серверу роль контроллера домена должна быть дана до установки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Если рабочие станции должны быть в домене, они уже должны быть в него</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введены.</a:t>
          </a:r>
        </a:p>
        <a:p>
          <a:pPr algn="just"/>
          <a:r>
            <a:rPr lang="ru-RU" sz="1100" b="0" i="0" u="none" strike="noStrike" baseline="0">
              <a:solidFill>
                <a:schemeClr val="dk1"/>
              </a:solidFill>
              <a:latin typeface="+mn-lt"/>
              <a:ea typeface="+mn-ea"/>
              <a:cs typeface="Arial" panose="020B0604020202020204" pitchFamily="34" charset="0"/>
            </a:rPr>
            <a:t>• Если предполагается использование Сервера безопасности, для него также</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должен быть подготовлен компьютер.</a:t>
          </a:r>
          <a:endParaRPr lang="en-US"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3</xdr:col>
      <xdr:colOff>4082</xdr:colOff>
      <xdr:row>23</xdr:row>
      <xdr:rowOff>23128</xdr:rowOff>
    </xdr:from>
    <xdr:to>
      <xdr:col>11</xdr:col>
      <xdr:colOff>704850</xdr:colOff>
      <xdr:row>44</xdr:row>
      <xdr:rowOff>108856</xdr:rowOff>
    </xdr:to>
    <xdr:sp macro="" textlink="">
      <xdr:nvSpPr>
        <xdr:cNvPr id="5" name="TextBox 4">
          <a:extLst>
            <a:ext uri="{FF2B5EF4-FFF2-40B4-BE49-F238E27FC236}">
              <a16:creationId xmlns:a16="http://schemas.microsoft.com/office/drawing/2014/main" xmlns="" id="{00000000-0008-0000-0B00-000005000000}"/>
            </a:ext>
          </a:extLst>
        </xdr:cNvPr>
        <xdr:cNvSpPr txBox="1"/>
      </xdr:nvSpPr>
      <xdr:spPr>
        <a:xfrm>
          <a:off x="5773511" y="7656735"/>
          <a:ext cx="6361339" cy="4086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Базовая установка включает в себя:</a:t>
          </a:r>
        </a:p>
        <a:p>
          <a:pPr algn="just"/>
          <a:r>
            <a:rPr lang="ru-RU" sz="1100" b="0" i="0" u="none" strike="noStrike" baseline="0">
              <a:solidFill>
                <a:schemeClr val="dk1"/>
              </a:solidFill>
              <a:latin typeface="+mn-lt"/>
              <a:ea typeface="+mn-ea"/>
              <a:cs typeface="Arial" panose="020B0604020202020204" pitchFamily="34" charset="0"/>
            </a:rPr>
            <a:t>• установку СЗИ </a:t>
          </a:r>
          <a:r>
            <a:rPr lang="en-US" sz="1100" b="0" i="0" u="none" strike="noStrike" baseline="0">
              <a:solidFill>
                <a:schemeClr val="dk1"/>
              </a:solidFill>
              <a:latin typeface="+mn-lt"/>
              <a:ea typeface="+mn-ea"/>
              <a:cs typeface="Arial" panose="020B0604020202020204" pitchFamily="34" charset="0"/>
            </a:rPr>
            <a:t>Dallas Lock;</a:t>
          </a:r>
        </a:p>
        <a:p>
          <a:pPr algn="just"/>
          <a:r>
            <a:rPr lang="ru-RU" sz="1100" b="0" i="0" u="none" strike="noStrike" baseline="0">
              <a:solidFill>
                <a:schemeClr val="dk1"/>
              </a:solidFill>
              <a:latin typeface="+mn-lt"/>
              <a:ea typeface="+mn-ea"/>
              <a:cs typeface="Arial" panose="020B0604020202020204" pitchFamily="34" charset="0"/>
            </a:rPr>
            <a:t>• по необходимости – ввод в домен безопасности;</a:t>
          </a:r>
        </a:p>
        <a:p>
          <a:pPr algn="just"/>
          <a:r>
            <a:rPr lang="ru-RU" sz="1100" b="0" i="0" u="none" strike="noStrike" baseline="0">
              <a:solidFill>
                <a:schemeClr val="dk1"/>
              </a:solidFill>
              <a:latin typeface="+mn-lt"/>
              <a:ea typeface="+mn-ea"/>
              <a:cs typeface="Arial" panose="020B0604020202020204" pitchFamily="34" charset="0"/>
            </a:rPr>
            <a:t>• регистрацию в СЗИ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пользователей (не более 3-х);</a:t>
          </a:r>
        </a:p>
        <a:p>
          <a:pPr algn="just"/>
          <a:r>
            <a:rPr lang="ru-RU" sz="1100" b="0" i="0" u="none" strike="noStrike" baseline="0">
              <a:solidFill>
                <a:schemeClr val="dk1"/>
              </a:solidFill>
              <a:latin typeface="+mn-lt"/>
              <a:ea typeface="+mn-ea"/>
              <a:cs typeface="Arial" panose="020B0604020202020204" pitchFamily="34" charset="0"/>
            </a:rPr>
            <a:t>• настройку политик входа и аудита в соответствии с требованиями заказчика;</a:t>
          </a:r>
        </a:p>
        <a:p>
          <a:pPr algn="just"/>
          <a:r>
            <a:rPr lang="ru-RU" sz="1100" b="0" i="0" u="none" strike="noStrike" baseline="0">
              <a:solidFill>
                <a:schemeClr val="dk1"/>
              </a:solidFill>
              <a:latin typeface="+mn-lt"/>
              <a:ea typeface="+mn-ea"/>
              <a:cs typeface="Arial" panose="020B0604020202020204" pitchFamily="34" charset="0"/>
            </a:rPr>
            <a:t>• по необходимости – настройку ЗПС и мандатного доступа;</a:t>
          </a:r>
        </a:p>
        <a:p>
          <a:pPr algn="just"/>
          <a:r>
            <a:rPr lang="ru-RU" sz="1100" b="0" i="0" u="none" strike="noStrike" baseline="0">
              <a:solidFill>
                <a:schemeClr val="dk1"/>
              </a:solidFill>
              <a:latin typeface="+mn-lt"/>
              <a:ea typeface="+mn-ea"/>
              <a:cs typeface="Arial" panose="020B0604020202020204" pitchFamily="34" charset="0"/>
            </a:rPr>
            <a:t>•</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демонстрацию администратору информационной безопасности работоспособности настроенной системы;</a:t>
          </a:r>
        </a:p>
        <a:p>
          <a:pPr algn="just"/>
          <a:r>
            <a:rPr lang="ru-RU" sz="1100" b="0" i="0" u="none" strike="noStrike" baseline="0">
              <a:solidFill>
                <a:schemeClr val="dk1"/>
              </a:solidFill>
              <a:latin typeface="+mn-lt"/>
              <a:ea typeface="+mn-ea"/>
              <a:cs typeface="Arial" panose="020B0604020202020204" pitchFamily="34" charset="0"/>
            </a:rPr>
            <a:t>• при установке СДЗ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в стоимость входит сборка-разборка корпуса компьютера и подключение необходимых кабелей при наличии технической возможности.</a:t>
          </a: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Расширенная установка. Для оценки стоимости необходимо ответить на</a:t>
          </a:r>
        </a:p>
        <a:p>
          <a:pPr algn="just"/>
          <a:r>
            <a:rPr lang="ru-RU" sz="1100" b="1" i="0" u="none" strike="noStrike" baseline="0">
              <a:solidFill>
                <a:schemeClr val="dk1"/>
              </a:solidFill>
              <a:latin typeface="+mn-lt"/>
              <a:ea typeface="+mn-ea"/>
              <a:cs typeface="Arial" panose="020B0604020202020204" pitchFamily="34" charset="0"/>
            </a:rPr>
            <a:t>следующие вопросы:</a:t>
          </a:r>
        </a:p>
        <a:p>
          <a:pPr algn="just"/>
          <a:r>
            <a:rPr lang="ru-RU" sz="1100" b="0" i="0" u="none" strike="noStrike" baseline="0">
              <a:solidFill>
                <a:schemeClr val="dk1"/>
              </a:solidFill>
              <a:latin typeface="+mn-lt"/>
              <a:ea typeface="+mn-ea"/>
              <a:cs typeface="Arial" panose="020B0604020202020204" pitchFamily="34" charset="0"/>
            </a:rPr>
            <a:t>• Используется ли Сервер безопасности?</a:t>
          </a:r>
        </a:p>
        <a:p>
          <a:pPr algn="just"/>
          <a:r>
            <a:rPr lang="ru-RU" sz="1100" b="0" i="0" u="none" strike="noStrike" baseline="0">
              <a:solidFill>
                <a:schemeClr val="dk1"/>
              </a:solidFill>
              <a:latin typeface="+mn-lt"/>
              <a:ea typeface="+mn-ea"/>
              <a:cs typeface="Arial" panose="020B0604020202020204" pitchFamily="34" charset="0"/>
            </a:rPr>
            <a:t>• Используется ли Сервер лицензий?</a:t>
          </a:r>
        </a:p>
        <a:p>
          <a:pPr algn="just"/>
          <a:r>
            <a:rPr lang="ru-RU" sz="1100" b="0" i="0" u="none" strike="noStrike" baseline="0">
              <a:solidFill>
                <a:schemeClr val="dk1"/>
              </a:solidFill>
              <a:latin typeface="+mn-lt"/>
              <a:ea typeface="+mn-ea"/>
              <a:cs typeface="Arial" panose="020B0604020202020204" pitchFamily="34" charset="0"/>
            </a:rPr>
            <a:t>• Сколько рабочих станций?</a:t>
          </a:r>
        </a:p>
        <a:p>
          <a:pPr algn="just"/>
          <a:r>
            <a:rPr lang="ru-RU" sz="1100" b="0" i="0" u="none" strike="noStrike" baseline="0">
              <a:solidFill>
                <a:schemeClr val="dk1"/>
              </a:solidFill>
              <a:latin typeface="+mn-lt"/>
              <a:ea typeface="+mn-ea"/>
              <a:cs typeface="Arial" panose="020B0604020202020204" pitchFamily="34" charset="0"/>
            </a:rPr>
            <a:t>• Сколько пользователей на каждой рабочей станции?</a:t>
          </a:r>
        </a:p>
        <a:p>
          <a:pPr algn="just"/>
          <a:r>
            <a:rPr lang="ru-RU" sz="1100" b="0" i="0" u="none" strike="noStrike" baseline="0">
              <a:solidFill>
                <a:schemeClr val="dk1"/>
              </a:solidFill>
              <a:latin typeface="+mn-lt"/>
              <a:ea typeface="+mn-ea"/>
              <a:cs typeface="Arial" panose="020B0604020202020204" pitchFamily="34" charset="0"/>
            </a:rPr>
            <a:t>• Какие дополнительные механизмы должны использоваться (преобразование дисков,</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ЗПС, мандатный доступ, настройка прав доступа)?</a:t>
          </a:r>
        </a:p>
        <a:p>
          <a:pPr algn="just"/>
          <a:r>
            <a:rPr lang="ru-RU" sz="1100" b="0" i="0" u="none" strike="noStrike" baseline="0">
              <a:solidFill>
                <a:schemeClr val="dk1"/>
              </a:solidFill>
              <a:latin typeface="+mn-lt"/>
              <a:ea typeface="+mn-ea"/>
              <a:cs typeface="Arial" panose="020B0604020202020204" pitchFamily="34" charset="0"/>
            </a:rPr>
            <a:t>• Какое ПО используется на рабочих станциях?</a:t>
          </a:r>
        </a:p>
        <a:p>
          <a:pPr algn="just"/>
          <a:r>
            <a:rPr lang="ru-RU" sz="1100" b="0" i="0" u="none" strike="noStrike" baseline="0">
              <a:solidFill>
                <a:schemeClr val="dk1"/>
              </a:solidFill>
              <a:latin typeface="+mn-lt"/>
              <a:ea typeface="+mn-ea"/>
              <a:cs typeface="Arial" panose="020B0604020202020204" pitchFamily="34" charset="0"/>
            </a:rPr>
            <a:t>• Какова сетевая конфигурация?</a:t>
          </a:r>
        </a:p>
        <a:p>
          <a:pPr algn="just"/>
          <a:r>
            <a:rPr lang="ru-RU" sz="1100" b="0" i="0" u="none" strike="noStrike" baseline="0">
              <a:solidFill>
                <a:schemeClr val="dk1"/>
              </a:solidFill>
              <a:latin typeface="+mn-lt"/>
              <a:ea typeface="+mn-ea"/>
              <a:cs typeface="Arial" panose="020B0604020202020204" pitchFamily="34" charset="0"/>
            </a:rPr>
            <a:t>• Какие подготовительные работы и установку какого дополнительного ПО</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необходимо выполнить сотрудникам ЦЗИ ООО «Конфидент»?</a:t>
          </a:r>
          <a:endParaRPr lang="ru-RU" sz="1100">
            <a:effectLst/>
            <a:latin typeface="+mn-lt"/>
            <a:ea typeface="Calibri"/>
            <a:cs typeface="Arial" panose="020B0604020202020204" pitchFamily="34" charset="0"/>
          </a:endParaRPr>
        </a:p>
      </xdr:txBody>
    </xdr:sp>
    <xdr:clientData/>
  </xdr:twoCellAnchor>
  <xdr:twoCellAnchor>
    <xdr:from>
      <xdr:col>1</xdr:col>
      <xdr:colOff>9524</xdr:colOff>
      <xdr:row>45</xdr:row>
      <xdr:rowOff>40821</xdr:rowOff>
    </xdr:from>
    <xdr:to>
      <xdr:col>12</xdr:col>
      <xdr:colOff>21166</xdr:colOff>
      <xdr:row>47</xdr:row>
      <xdr:rowOff>81643</xdr:rowOff>
    </xdr:to>
    <xdr:grpSp>
      <xdr:nvGrpSpPr>
        <xdr:cNvPr id="6" name="Группа 5">
          <a:extLst>
            <a:ext uri="{FF2B5EF4-FFF2-40B4-BE49-F238E27FC236}">
              <a16:creationId xmlns:a16="http://schemas.microsoft.com/office/drawing/2014/main" xmlns="" id="{00000000-0008-0000-0B00-000006000000}"/>
            </a:ext>
          </a:extLst>
        </xdr:cNvPr>
        <xdr:cNvGrpSpPr/>
      </xdr:nvGrpSpPr>
      <xdr:grpSpPr>
        <a:xfrm>
          <a:off x="95249" y="14442621"/>
          <a:ext cx="12041717" cy="421822"/>
          <a:chOff x="9525" y="13325475"/>
          <a:chExt cx="12372975" cy="1133198"/>
        </a:xfrm>
      </xdr:grpSpPr>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9525" y="13429972"/>
            <a:ext cx="12372975" cy="1028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Arial" panose="020B0604020202020204" pitchFamily="34" charset="0"/>
                <a:ea typeface="+mn-ea"/>
                <a:cs typeface="Arial" panose="020B0604020202020204" pitchFamily="34" charset="0"/>
              </a:rPr>
              <a:t>* «x» – </a:t>
            </a:r>
            <a:r>
              <a:rPr lang="ru-RU" sz="1100" b="0" i="0" u="none" strike="noStrike" baseline="0">
                <a:solidFill>
                  <a:schemeClr val="dk1"/>
                </a:solidFill>
                <a:latin typeface="Arial" panose="020B0604020202020204" pitchFamily="34" charset="0"/>
                <a:ea typeface="+mn-ea"/>
                <a:cs typeface="Arial" panose="020B0604020202020204" pitchFamily="34" charset="0"/>
              </a:rPr>
              <a:t>диапазон приобретаемых лицензий по количеству рабочих станций, серверов.</a:t>
            </a:r>
          </a:p>
        </xdr:txBody>
      </xdr:sp>
      <xdr:cxnSp macro="">
        <xdr:nvCxnSpPr>
          <xdr:cNvPr id="8" name="Прямая соединительная линия 7">
            <a:extLst>
              <a:ext uri="{FF2B5EF4-FFF2-40B4-BE49-F238E27FC236}">
                <a16:creationId xmlns:a16="http://schemas.microsoft.com/office/drawing/2014/main" xmlns="" id="{00000000-0008-0000-0B00-000008000000}"/>
              </a:ext>
            </a:extLst>
          </xdr:cNvPr>
          <xdr:cNvCxnSpPr/>
        </xdr:nvCxnSpPr>
        <xdr:spPr>
          <a:xfrm>
            <a:off x="76200" y="13325475"/>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0</xdr:col>
      <xdr:colOff>0</xdr:colOff>
      <xdr:row>0</xdr:row>
      <xdr:rowOff>0</xdr:rowOff>
    </xdr:from>
    <xdr:to>
      <xdr:col>12</xdr:col>
      <xdr:colOff>65553</xdr:colOff>
      <xdr:row>1</xdr:row>
      <xdr:rowOff>1081945</xdr:rowOff>
    </xdr:to>
    <xdr:pic>
      <xdr:nvPicPr>
        <xdr:cNvPr id="10" name="Рисунок 9">
          <a:hlinkClick xmlns:r="http://schemas.openxmlformats.org/officeDocument/2006/relationships" r:id="rId1"/>
          <a:extLst>
            <a:ext uri="{FF2B5EF4-FFF2-40B4-BE49-F238E27FC236}">
              <a16:creationId xmlns:a16="http://schemas.microsoft.com/office/drawing/2014/main" xmlns="" id="{00000000-0008-0000-0B00-00000A000000}"/>
            </a:ext>
          </a:extLst>
        </xdr:cNvPr>
        <xdr:cNvPicPr>
          <a:picLocks noChangeAspect="1"/>
        </xdr:cNvPicPr>
      </xdr:nvPicPr>
      <xdr:blipFill>
        <a:blip xmlns:r="http://schemas.openxmlformats.org/officeDocument/2006/relationships" r:embed="rId2"/>
        <a:stretch>
          <a:fillRect/>
        </a:stretch>
      </xdr:blipFill>
      <xdr:spPr>
        <a:xfrm>
          <a:off x="0" y="0"/>
          <a:ext cx="12201524" cy="1272445"/>
        </a:xfrm>
        <a:prstGeom prst="rect">
          <a:avLst/>
        </a:prstGeom>
      </xdr:spPr>
    </xdr:pic>
    <xdr:clientData/>
  </xdr:twoCellAnchor>
  <xdr:twoCellAnchor editAs="oneCell">
    <xdr:from>
      <xdr:col>0</xdr:col>
      <xdr:colOff>0</xdr:colOff>
      <xdr:row>21</xdr:row>
      <xdr:rowOff>21165</xdr:rowOff>
    </xdr:from>
    <xdr:to>
      <xdr:col>13</xdr:col>
      <xdr:colOff>6651</xdr:colOff>
      <xdr:row>21</xdr:row>
      <xdr:rowOff>550332</xdr:rowOff>
    </xdr:to>
    <xdr:pic>
      <xdr:nvPicPr>
        <xdr:cNvPr id="9" name="Рисунок 8">
          <a:extLst>
            <a:ext uri="{FF2B5EF4-FFF2-40B4-BE49-F238E27FC236}">
              <a16:creationId xmlns:a16="http://schemas.microsoft.com/office/drawing/2014/main" xmlns="" id="{00000000-0008-0000-0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7440082"/>
          <a:ext cx="12240984" cy="5291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126413</xdr:colOff>
      <xdr:row>36</xdr:row>
      <xdr:rowOff>95250</xdr:rowOff>
    </xdr:from>
    <xdr:to>
      <xdr:col>14</xdr:col>
      <xdr:colOff>237786</xdr:colOff>
      <xdr:row>50</xdr:row>
      <xdr:rowOff>13607</xdr:rowOff>
    </xdr:to>
    <xdr:sp macro="" textlink="">
      <xdr:nvSpPr>
        <xdr:cNvPr id="2" name="TextBox 1">
          <a:extLst>
            <a:ext uri="{FF2B5EF4-FFF2-40B4-BE49-F238E27FC236}">
              <a16:creationId xmlns:a16="http://schemas.microsoft.com/office/drawing/2014/main" xmlns="" id="{00000000-0008-0000-0C00-000002000000}"/>
            </a:ext>
          </a:extLst>
        </xdr:cNvPr>
        <xdr:cNvSpPr txBox="1"/>
      </xdr:nvSpPr>
      <xdr:spPr>
        <a:xfrm>
          <a:off x="126413" y="6953250"/>
          <a:ext cx="8645773" cy="2585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ru-RU" sz="1400" b="1" i="0" u="none" baseline="0">
              <a:solidFill>
                <a:schemeClr val="dk1"/>
              </a:solidFill>
              <a:effectLst/>
              <a:latin typeface="+mn-lt"/>
              <a:ea typeface="+mn-ea"/>
              <a:cs typeface="+mn-cs"/>
            </a:rPr>
            <a:t>Ключевые особенности:</a:t>
          </a:r>
          <a:endParaRPr lang="ru-RU" sz="1400" u="none">
            <a:effectLst/>
          </a:endParaRPr>
        </a:p>
        <a:p>
          <a:pPr marL="171450" indent="-171450" algn="l">
            <a:spcBef>
              <a:spcPts val="600"/>
            </a:spcBef>
            <a:buFont typeface="Wingdings" panose="05000000000000000000" pitchFamily="2" charset="2"/>
            <a:buChar char="v"/>
          </a:pPr>
          <a:r>
            <a:rPr lang="ru-RU" sz="1100" b="1">
              <a:solidFill>
                <a:schemeClr val="dk1"/>
              </a:solidFill>
              <a:effectLst/>
              <a:latin typeface="+mn-lt"/>
              <a:ea typeface="+mn-ea"/>
              <a:cs typeface="+mn-cs"/>
            </a:rPr>
            <a:t>Поддержка российских ОС, в том числе сертифицированных ФСТЭК России, а также систем </a:t>
          </a:r>
          <a:r>
            <a:rPr lang="en-US" sz="1100" b="1">
              <a:solidFill>
                <a:schemeClr val="dk1"/>
              </a:solidFill>
              <a:effectLst/>
              <a:latin typeface="+mn-lt"/>
              <a:ea typeface="+mn-ea"/>
              <a:cs typeface="+mn-cs"/>
            </a:rPr>
            <a:t>Windows </a:t>
          </a:r>
          <a:r>
            <a:rPr lang="ru-RU" sz="1100" b="1">
              <a:solidFill>
                <a:schemeClr val="dk1"/>
              </a:solidFill>
              <a:effectLst/>
              <a:latin typeface="+mn-lt"/>
              <a:ea typeface="+mn-ea"/>
              <a:cs typeface="+mn-cs"/>
            </a:rPr>
            <a:t>и </a:t>
          </a:r>
          <a:r>
            <a:rPr lang="en-US" sz="1100" b="1">
              <a:solidFill>
                <a:schemeClr val="dk1"/>
              </a:solidFill>
              <a:effectLst/>
              <a:latin typeface="+mn-lt"/>
              <a:ea typeface="+mn-ea"/>
              <a:cs typeface="+mn-cs"/>
            </a:rPr>
            <a:t>Linux</a:t>
          </a:r>
          <a:r>
            <a:rPr lang="ru-RU" sz="1100" b="1">
              <a:solidFill>
                <a:schemeClr val="dk1"/>
              </a:solidFill>
              <a:effectLst/>
              <a:latin typeface="+mn-lt"/>
              <a:ea typeface="+mn-ea"/>
              <a:cs typeface="+mn-cs"/>
            </a:rPr>
            <a:t>. </a:t>
          </a:r>
          <a:br>
            <a:rPr lang="ru-RU" sz="1100" b="1">
              <a:solidFill>
                <a:schemeClr val="dk1"/>
              </a:solidFill>
              <a:effectLst/>
              <a:latin typeface="+mn-lt"/>
              <a:ea typeface="+mn-ea"/>
              <a:cs typeface="+mn-cs"/>
            </a:rPr>
          </a:br>
          <a:r>
            <a:rPr lang="ru-RU"/>
            <a:t>Список поддерживаемых ОС постоянно пополняется</a:t>
          </a:r>
          <a:r>
            <a:rPr lang="ru-RU" sz="1100" b="1">
              <a:solidFill>
                <a:schemeClr val="dk1"/>
              </a:solidFill>
              <a:effectLst/>
              <a:latin typeface="+mn-lt"/>
              <a:ea typeface="+mn-ea"/>
              <a:cs typeface="+mn-cs"/>
            </a:rPr>
            <a:t>.</a:t>
          </a:r>
          <a:endParaRPr lang="en-US" sz="1100" b="1">
            <a:solidFill>
              <a:schemeClr val="dk1"/>
            </a:solidFill>
            <a:effectLst/>
            <a:latin typeface="+mn-lt"/>
            <a:ea typeface="+mn-ea"/>
            <a:cs typeface="+mn-cs"/>
          </a:endParaRPr>
        </a:p>
        <a:p>
          <a:pPr marL="171450" indent="-171450" algn="l">
            <a:spcBef>
              <a:spcPts val="600"/>
            </a:spcBef>
            <a:buFont typeface="Wingdings" panose="05000000000000000000" pitchFamily="2" charset="2"/>
            <a:buChar char="v"/>
          </a:pPr>
          <a:r>
            <a:rPr lang="ru-RU" sz="1100" b="1">
              <a:solidFill>
                <a:schemeClr val="dk1"/>
              </a:solidFill>
              <a:effectLst/>
              <a:latin typeface="+mn-lt"/>
              <a:ea typeface="+mn-ea"/>
              <a:cs typeface="+mn-cs"/>
            </a:rPr>
            <a:t>Централизованное управление средствами защиты </a:t>
          </a:r>
          <a:r>
            <a:rPr lang="en-US" sz="1100" b="1">
              <a:solidFill>
                <a:schemeClr val="dk1"/>
              </a:solidFill>
              <a:effectLst/>
              <a:latin typeface="+mn-lt"/>
              <a:ea typeface="+mn-ea"/>
              <a:cs typeface="+mn-cs"/>
            </a:rPr>
            <a:t>Dallas Lock </a:t>
          </a:r>
          <a:r>
            <a:rPr lang="ru-RU" sz="1100" b="1">
              <a:solidFill>
                <a:schemeClr val="dk1"/>
              </a:solidFill>
              <a:effectLst/>
              <a:latin typeface="+mn-lt"/>
              <a:ea typeface="+mn-ea"/>
              <a:cs typeface="+mn-cs"/>
            </a:rPr>
            <a:t>на рабочих станциях и серверах, в том числе за </a:t>
          </a:r>
          <a:r>
            <a:rPr lang="en-US" sz="1100" b="1">
              <a:solidFill>
                <a:schemeClr val="dk1"/>
              </a:solidFill>
              <a:effectLst/>
              <a:latin typeface="+mn-lt"/>
              <a:ea typeface="+mn-ea"/>
              <a:cs typeface="+mn-cs"/>
            </a:rPr>
            <a:t>NAT. </a:t>
          </a:r>
          <a:r>
            <a:rPr lang="ru-RU" sz="1100" b="0">
              <a:solidFill>
                <a:schemeClr val="dk1"/>
              </a:solidFill>
              <a:effectLst/>
              <a:latin typeface="+mn-lt"/>
              <a:ea typeface="+mn-ea"/>
              <a:cs typeface="+mn-cs"/>
            </a:rPr>
            <a:t>Для корректной работы достаточно, чтобы клиентские устройства и серверы имели доступ к ЕЦУ </a:t>
          </a:r>
          <a:r>
            <a:rPr lang="en-US" sz="1100" b="0">
              <a:solidFill>
                <a:schemeClr val="dk1"/>
              </a:solidFill>
              <a:effectLst/>
              <a:latin typeface="+mn-lt"/>
              <a:ea typeface="+mn-ea"/>
              <a:cs typeface="+mn-cs"/>
            </a:rPr>
            <a:t>Dallas Lock</a:t>
          </a:r>
          <a:endParaRPr lang="ru-RU" sz="1100" b="0">
            <a:solidFill>
              <a:schemeClr val="dk1"/>
            </a:solidFill>
            <a:effectLst/>
            <a:latin typeface="+mn-lt"/>
            <a:ea typeface="+mn-ea"/>
            <a:cs typeface="+mn-cs"/>
          </a:endParaRPr>
        </a:p>
        <a:p>
          <a:pPr marL="171450" indent="-171450" algn="l">
            <a:spcBef>
              <a:spcPts val="600"/>
            </a:spcBef>
            <a:buFont typeface="Wingdings" panose="05000000000000000000" pitchFamily="2" charset="2"/>
            <a:buChar char="v"/>
          </a:pPr>
          <a:r>
            <a:rPr lang="ru-RU" b="1"/>
            <a:t>Возможность сбора журналов и отчётов с рабочих станций и серверов, не имеющих установленных средств защиты</a:t>
          </a:r>
          <a:r>
            <a:rPr lang="ru-RU"/>
            <a:t>, через кросс-платформенный модуль Агент ЕЦУ. Поддерживается удалённое подключение с доступом к рабочему столу пользователя</a:t>
          </a:r>
          <a:endParaRPr lang="ru-RU" sz="1100">
            <a:solidFill>
              <a:schemeClr val="dk1"/>
            </a:solidFill>
            <a:effectLst/>
            <a:latin typeface="+mn-lt"/>
            <a:ea typeface="+mn-ea"/>
            <a:cs typeface="+mn-cs"/>
          </a:endParaRPr>
        </a:p>
        <a:p>
          <a:pPr marL="171450" indent="-171450" algn="l">
            <a:spcBef>
              <a:spcPts val="600"/>
            </a:spcBef>
            <a:buFont typeface="Wingdings" panose="05000000000000000000" pitchFamily="2" charset="2"/>
            <a:buChar char="v"/>
          </a:pPr>
          <a:r>
            <a:rPr lang="ru-RU" b="1"/>
            <a:t>Иерархическое отображение объектов домена </a:t>
          </a:r>
          <a:r>
            <a:rPr lang="ru-RU"/>
            <a:t>безопасности </a:t>
          </a:r>
          <a:r>
            <a:rPr lang="en-US"/>
            <a:t>Dallas Lock </a:t>
          </a:r>
          <a:r>
            <a:rPr lang="ru-RU"/>
            <a:t>с наследованием параметров безопасности</a:t>
          </a:r>
          <a:endParaRPr lang="ru-RU" sz="1100" b="0" i="0" u="none" strike="noStrike" baseline="0">
            <a:solidFill>
              <a:schemeClr val="dk1"/>
            </a:solidFill>
            <a:effectLst/>
            <a:latin typeface="+mn-lt"/>
            <a:ea typeface="+mn-ea"/>
            <a:cs typeface="+mn-cs"/>
          </a:endParaRPr>
        </a:p>
        <a:p>
          <a:pPr marL="171450" indent="-171450" algn="l">
            <a:spcBef>
              <a:spcPts val="600"/>
            </a:spcBef>
            <a:buFont typeface="Wingdings" panose="05000000000000000000" pitchFamily="2" charset="2"/>
            <a:buChar char="v"/>
          </a:pPr>
          <a:r>
            <a:rPr lang="ru-RU" b="1"/>
            <a:t>Контроль состояния и целостности настроек активного сетевого оборудования </a:t>
          </a:r>
          <a:r>
            <a:rPr lang="ru-RU"/>
            <a:t>осуществляется через ЕЦУ </a:t>
          </a:r>
          <a:r>
            <a:rPr lang="en-US"/>
            <a:t>Dallas Lock, </a:t>
          </a:r>
          <a:r>
            <a:rPr lang="ru-RU"/>
            <a:t>который идентифицирует сетевые устройства как объекты домена безопасности. Система обеспечивает получение отчётов о конфигурациях оборудования и мониторинг их изменений по протоколам </a:t>
          </a:r>
          <a:r>
            <a:rPr lang="en-US"/>
            <a:t>SNMP </a:t>
          </a:r>
          <a:r>
            <a:rPr lang="ru-RU"/>
            <a:t>и </a:t>
          </a:r>
          <a:r>
            <a:rPr lang="en-US"/>
            <a:t>SSH</a:t>
          </a:r>
          <a:endParaRPr lang="ru-RU"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0</xdr:col>
      <xdr:colOff>66675</xdr:colOff>
      <xdr:row>9</xdr:row>
      <xdr:rowOff>55907</xdr:rowOff>
    </xdr:from>
    <xdr:to>
      <xdr:col>16</xdr:col>
      <xdr:colOff>622549</xdr:colOff>
      <xdr:row>10</xdr:row>
      <xdr:rowOff>784412</xdr:rowOff>
    </xdr:to>
    <xdr:sp macro="" textlink="">
      <xdr:nvSpPr>
        <xdr:cNvPr id="3" name="TextBox 2">
          <a:extLst>
            <a:ext uri="{FF2B5EF4-FFF2-40B4-BE49-F238E27FC236}">
              <a16:creationId xmlns:a16="http://schemas.microsoft.com/office/drawing/2014/main" xmlns="" id="{00000000-0008-0000-0C00-000003000000}"/>
            </a:ext>
          </a:extLst>
        </xdr:cNvPr>
        <xdr:cNvSpPr txBox="1"/>
      </xdr:nvSpPr>
      <xdr:spPr>
        <a:xfrm>
          <a:off x="66675" y="1770407"/>
          <a:ext cx="10299949" cy="328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ru-RU"/>
            <a:t>Сертифицированная система защиты конфиденциальной информации накладного типа. Предназначена для автономных персональных компьютеров и серверов под управлением ОС семейства </a:t>
          </a:r>
          <a:r>
            <a:rPr lang="en-US"/>
            <a:t>Linux, </a:t>
          </a:r>
          <a:r>
            <a:rPr lang="ru-RU"/>
            <a:t>в том числе в составе локально-вычислительной сети</a:t>
          </a:r>
          <a:r>
            <a:rPr lang="ru-RU" sz="1100" b="0" i="0" baseline="0">
              <a:solidFill>
                <a:schemeClr val="dk1"/>
              </a:solidFill>
              <a:effectLst/>
              <a:latin typeface="+mn-lt"/>
              <a:ea typeface="+mn-ea"/>
              <a:cs typeface="+mn-cs"/>
            </a:rPr>
            <a:t>. </a:t>
          </a:r>
          <a:r>
            <a:rPr lang="ru-RU" sz="1100" b="1" i="0">
              <a:solidFill>
                <a:schemeClr val="dk1"/>
              </a:solidFill>
              <a:effectLst/>
              <a:latin typeface="+mn-lt"/>
              <a:ea typeface="+mn-ea"/>
              <a:cs typeface="+mn-cs"/>
            </a:rPr>
            <a:t>Сертификат ФСТЭК России № 3594</a:t>
          </a:r>
          <a:r>
            <a:rPr lang="ru-RU" sz="1100" b="0" i="0">
              <a:solidFill>
                <a:schemeClr val="dk1"/>
              </a:solidFill>
              <a:effectLst/>
              <a:latin typeface="+mn-lt"/>
              <a:ea typeface="+mn-ea"/>
              <a:cs typeface="+mn-cs"/>
            </a:rPr>
            <a:t> от 04 июля 2016 г.</a:t>
          </a:r>
          <a:endParaRPr lang="ru-RU">
            <a:effectLst/>
          </a:endParaRPr>
        </a:p>
        <a:p>
          <a:endParaRPr lang="ru-RU"/>
        </a:p>
        <a:p>
          <a:pPr>
            <a:spcBef>
              <a:spcPts val="0"/>
            </a:spcBef>
            <a:spcAft>
              <a:spcPts val="600"/>
            </a:spcAft>
          </a:pPr>
          <a:r>
            <a:rPr lang="ru-RU" sz="1400" b="1" i="0" baseline="0">
              <a:solidFill>
                <a:schemeClr val="dk1"/>
              </a:solidFill>
              <a:effectLst/>
              <a:latin typeface="+mn-lt"/>
              <a:ea typeface="+mn-ea"/>
              <a:cs typeface="+mn-cs"/>
            </a:rPr>
            <a:t>Поддержка широкого набора </a:t>
          </a:r>
          <a:r>
            <a:rPr lang="en-US" sz="1400" b="1" i="0" baseline="0">
              <a:solidFill>
                <a:schemeClr val="dk1"/>
              </a:solidFill>
              <a:effectLst/>
              <a:latin typeface="+mn-lt"/>
              <a:ea typeface="+mn-ea"/>
              <a:cs typeface="+mn-cs"/>
            </a:rPr>
            <a:t>Linux-</a:t>
          </a:r>
          <a:r>
            <a:rPr lang="ru-RU" sz="1400" b="1" i="0" baseline="0">
              <a:solidFill>
                <a:schemeClr val="dk1"/>
              </a:solidFill>
              <a:effectLst/>
              <a:latin typeface="+mn-lt"/>
              <a:ea typeface="+mn-ea"/>
              <a:cs typeface="+mn-cs"/>
            </a:rPr>
            <a:t>дистрибутивов, в том числе сертифицированные ОС: </a:t>
          </a:r>
          <a:r>
            <a:rPr lang="en-US" sz="1400" b="1" i="0" baseline="0">
              <a:solidFill>
                <a:schemeClr val="dk1"/>
              </a:solidFill>
              <a:effectLst/>
              <a:latin typeface="+mn-lt"/>
              <a:ea typeface="+mn-ea"/>
              <a:cs typeface="+mn-cs"/>
            </a:rPr>
            <a:t>Astra Linux, </a:t>
          </a:r>
          <a:r>
            <a:rPr lang="ru-RU" sz="1400" b="1" i="0" baseline="0">
              <a:solidFill>
                <a:schemeClr val="dk1"/>
              </a:solidFill>
              <a:effectLst/>
              <a:latin typeface="+mn-lt"/>
              <a:ea typeface="+mn-ea"/>
              <a:cs typeface="+mn-cs"/>
            </a:rPr>
            <a:t>Альт 8 СП релиз 10, РЕД ОС.</a:t>
          </a:r>
          <a:r>
            <a:rPr lang="ru-RU" sz="1100">
              <a:solidFill>
                <a:schemeClr val="dk1"/>
              </a:solidFill>
              <a:effectLst/>
              <a:latin typeface="+mn-lt"/>
              <a:ea typeface="+mn-ea"/>
              <a:cs typeface="+mn-cs"/>
            </a:rPr>
            <a:t/>
          </a:r>
          <a:br>
            <a:rPr lang="ru-RU" sz="1100">
              <a:solidFill>
                <a:schemeClr val="dk1"/>
              </a:solidFill>
              <a:effectLst/>
              <a:latin typeface="+mn-lt"/>
              <a:ea typeface="+mn-ea"/>
              <a:cs typeface="+mn-cs"/>
            </a:rPr>
          </a:br>
          <a:endParaRPr lang="ru-RU" sz="1100">
            <a:solidFill>
              <a:schemeClr val="dk1"/>
            </a:solidFill>
            <a:effectLst/>
            <a:latin typeface="+mn-lt"/>
            <a:ea typeface="+mn-ea"/>
            <a:cs typeface="+mn-cs"/>
          </a:endParaRPr>
        </a:p>
        <a:p>
          <a:pPr marL="0" indent="0" eaLnBrk="1" fontAlgn="auto" latinLnBrk="0" hangingPunct="1">
            <a:spcAft>
              <a:spcPts val="600"/>
            </a:spcAft>
            <a:buFont typeface="Arial" panose="020B0604020202020204" pitchFamily="34" charset="0"/>
            <a:buNone/>
          </a:pPr>
          <a:r>
            <a:rPr lang="ru-RU" sz="1400" b="1" i="0" baseline="0">
              <a:solidFill>
                <a:schemeClr val="dk1"/>
              </a:solidFill>
              <a:effectLst/>
              <a:latin typeface="+mn-lt"/>
              <a:ea typeface="+mn-ea"/>
              <a:cs typeface="+mn-cs"/>
            </a:rPr>
            <a:t>Доступны сертифицированные модули: </a:t>
          </a:r>
        </a:p>
        <a:p>
          <a:pPr marL="171450" indent="-171450" eaLnBrk="1" fontAlgn="auto" latinLnBrk="0" hangingPunct="1">
            <a:buFont typeface="Arial" panose="020B0604020202020204" pitchFamily="34" charset="0"/>
            <a:buChar char="•"/>
          </a:pPr>
          <a:r>
            <a:rPr lang="ru-RU" sz="1100" b="0" i="0" baseline="0">
              <a:solidFill>
                <a:schemeClr val="dk1"/>
              </a:solidFill>
              <a:effectLst/>
              <a:latin typeface="+mn-lt"/>
              <a:ea typeface="+mn-ea"/>
              <a:cs typeface="+mn-cs"/>
            </a:rPr>
            <a:t>Средство контроля съёмных машинных носителей информации (</a:t>
          </a:r>
          <a:r>
            <a:rPr lang="ru-RU" sz="1100" b="0" i="0">
              <a:solidFill>
                <a:schemeClr val="dk1"/>
              </a:solidFill>
              <a:effectLst/>
              <a:latin typeface="+mn-lt"/>
              <a:ea typeface="+mn-ea"/>
              <a:cs typeface="+mn-cs"/>
            </a:rPr>
            <a:t>ИТ.СКН.П4.ПЗ</a:t>
          </a:r>
          <a:r>
            <a:rPr lang="ru-RU" sz="1100" b="0" i="0" baseline="0">
              <a:solidFill>
                <a:schemeClr val="dk1"/>
              </a:solidFill>
              <a:effectLst/>
              <a:latin typeface="+mn-lt"/>
              <a:ea typeface="+mn-ea"/>
              <a:cs typeface="+mn-cs"/>
            </a:rPr>
            <a:t>)</a:t>
          </a:r>
        </a:p>
        <a:p>
          <a:pPr marL="171450" indent="-171450" eaLnBrk="1" fontAlgn="auto" latinLnBrk="0" hangingPunct="1">
            <a:buFont typeface="Arial" panose="020B0604020202020204" pitchFamily="34" charset="0"/>
            <a:buChar char="•"/>
          </a:pPr>
          <a:r>
            <a:rPr lang="ru-RU" sz="1100" b="0" i="0" baseline="0">
              <a:solidFill>
                <a:schemeClr val="dk1"/>
              </a:solidFill>
              <a:effectLst/>
              <a:latin typeface="+mn-lt"/>
              <a:ea typeface="+mn-ea"/>
              <a:cs typeface="+mn-cs"/>
            </a:rPr>
            <a:t>Межсетевой экран </a:t>
          </a:r>
          <a:r>
            <a:rPr lang="ru-RU" sz="1100" b="0" i="0">
              <a:solidFill>
                <a:schemeClr val="dk1"/>
              </a:solidFill>
              <a:effectLst/>
              <a:latin typeface="+mn-lt"/>
              <a:ea typeface="+mn-ea"/>
              <a:cs typeface="+mn-cs"/>
            </a:rPr>
            <a:t>(ИТ.МЭ.В4.ПЗ)</a:t>
          </a:r>
          <a:endParaRPr lang="ru-RU" sz="1100" b="0" i="0" baseline="0">
            <a:solidFill>
              <a:schemeClr val="dk1"/>
            </a:solidFill>
            <a:effectLst/>
            <a:latin typeface="+mn-lt"/>
            <a:ea typeface="+mn-ea"/>
            <a:cs typeface="+mn-cs"/>
          </a:endParaRPr>
        </a:p>
        <a:p>
          <a:pPr marL="171450" indent="-171450" eaLnBrk="1" fontAlgn="auto" latinLnBrk="0" hangingPunct="1">
            <a:buFont typeface="Arial" panose="020B0604020202020204" pitchFamily="34" charset="0"/>
            <a:buChar char="•"/>
          </a:pPr>
          <a:r>
            <a:rPr lang="ru-RU" sz="1100" b="0" i="0" baseline="0">
              <a:solidFill>
                <a:schemeClr val="dk1"/>
              </a:solidFill>
              <a:effectLst/>
              <a:latin typeface="+mn-lt"/>
              <a:ea typeface="+mn-ea"/>
              <a:cs typeface="+mn-cs"/>
            </a:rPr>
            <a:t>Система обнаружения вторжений (</a:t>
          </a:r>
          <a:r>
            <a:rPr lang="ru-RU" sz="1100">
              <a:solidFill>
                <a:schemeClr val="dk1"/>
              </a:solidFill>
              <a:effectLst/>
              <a:latin typeface="+mn-lt"/>
              <a:ea typeface="+mn-ea"/>
              <a:cs typeface="+mn-cs"/>
            </a:rPr>
            <a:t>ИТ.СОВ.У4.ПЗ</a:t>
          </a:r>
          <a:r>
            <a:rPr lang="ru-RU" sz="1100" b="0" i="0" baseline="0">
              <a:solidFill>
                <a:schemeClr val="dk1"/>
              </a:solidFill>
              <a:effectLst/>
              <a:latin typeface="+mn-lt"/>
              <a:ea typeface="+mn-ea"/>
              <a:cs typeface="+mn-cs"/>
            </a:rPr>
            <a:t>)</a:t>
          </a:r>
        </a:p>
        <a:p>
          <a:pPr eaLnBrk="1" fontAlgn="auto" latinLnBrk="0" hangingPunct="1"/>
          <a:endParaRPr lang="ru-RU">
            <a:effectLst/>
          </a:endParaRPr>
        </a:p>
        <a:p>
          <a:pPr eaLnBrk="1" fontAlgn="auto" latinLnBrk="0" hangingPunct="1"/>
          <a:r>
            <a:rPr lang="ru-RU" sz="1400" b="1" i="0" baseline="0">
              <a:solidFill>
                <a:schemeClr val="dk1"/>
              </a:solidFill>
              <a:effectLst/>
              <a:latin typeface="+mn-lt"/>
              <a:ea typeface="+mn-ea"/>
              <a:cs typeface="+mn-cs"/>
            </a:rPr>
            <a:t>Ключевые особенности:</a:t>
          </a:r>
          <a:endParaRPr lang="ru-RU" sz="1400">
            <a:effectLst/>
          </a:endParaRP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Централизованное управление </a:t>
          </a:r>
          <a:r>
            <a:rPr lang="ru-RU" sz="1100" b="0" i="0" u="none" strike="noStrike" baseline="0">
              <a:solidFill>
                <a:schemeClr val="dk1"/>
              </a:solidFill>
              <a:latin typeface="+mn-lt"/>
              <a:ea typeface="+mn-ea"/>
              <a:cs typeface="Arial" panose="020B0604020202020204" pitchFamily="34" charset="0"/>
            </a:rPr>
            <a:t>через Единый центр управления </a:t>
          </a:r>
          <a:r>
            <a:rPr lang="en-US" sz="1100" b="0" i="0" u="none" strike="noStrike" baseline="0">
              <a:solidFill>
                <a:schemeClr val="dk1"/>
              </a:solidFill>
              <a:latin typeface="+mn-lt"/>
              <a:ea typeface="+mn-ea"/>
              <a:cs typeface="Arial" panose="020B0604020202020204" pitchFamily="34" charset="0"/>
            </a:rPr>
            <a:t>Dallas Lock — </a:t>
          </a:r>
          <a:r>
            <a:rPr lang="ru-RU" sz="1100" b="0" i="0" u="none" strike="noStrike" baseline="0">
              <a:solidFill>
                <a:schemeClr val="dk1"/>
              </a:solidFill>
              <a:latin typeface="+mn-lt"/>
              <a:ea typeface="+mn-ea"/>
              <a:cs typeface="Arial" panose="020B0604020202020204" pitchFamily="34" charset="0"/>
            </a:rPr>
            <a:t>обеспечивает эффективное администрирование как в однородных, так и в гетерогенных средах, где устройства работают на ОС </a:t>
          </a:r>
          <a:r>
            <a:rPr lang="en-US" sz="1100" b="0" i="0" u="none" strike="noStrike" baseline="0">
              <a:solidFill>
                <a:schemeClr val="dk1"/>
              </a:solidFill>
              <a:latin typeface="+mn-lt"/>
              <a:ea typeface="+mn-ea"/>
              <a:cs typeface="Arial" panose="020B0604020202020204" pitchFamily="34" charset="0"/>
            </a:rPr>
            <a:t>Windows </a:t>
          </a:r>
          <a:r>
            <a:rPr lang="ru-RU" sz="1100" b="0" i="0" u="none" strike="noStrike" baseline="0">
              <a:solidFill>
                <a:schemeClr val="dk1"/>
              </a:solidFill>
              <a:latin typeface="+mn-lt"/>
              <a:ea typeface="+mn-ea"/>
              <a:cs typeface="Arial" panose="020B0604020202020204" pitchFamily="34" charset="0"/>
            </a:rPr>
            <a:t>и </a:t>
          </a:r>
          <a:r>
            <a:rPr lang="en-US" sz="1100" b="0" i="0" u="none" strike="noStrike" baseline="0">
              <a:solidFill>
                <a:schemeClr val="dk1"/>
              </a:solidFill>
              <a:latin typeface="+mn-lt"/>
              <a:ea typeface="+mn-ea"/>
              <a:cs typeface="Arial" panose="020B0604020202020204" pitchFamily="34" charset="0"/>
            </a:rPr>
            <a:t>Linux</a:t>
          </a:r>
          <a:endParaRPr lang="en-US" sz="1100" b="1" i="0" u="none" strike="noStrike" baseline="0">
            <a:solidFill>
              <a:schemeClr val="dk1"/>
            </a:solidFill>
            <a:latin typeface="+mn-lt"/>
            <a:ea typeface="+mn-ea"/>
            <a:cs typeface="Arial" panose="020B0604020202020204" pitchFamily="34" charset="0"/>
          </a:endParaRP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Отсутствие в составе продукта модулей ядра </a:t>
          </a:r>
          <a:r>
            <a:rPr lang="ru-RU" sz="1100" b="0" i="0" u="none" strike="noStrike" baseline="0">
              <a:solidFill>
                <a:schemeClr val="dk1"/>
              </a:solidFill>
              <a:latin typeface="+mn-lt"/>
              <a:ea typeface="+mn-ea"/>
              <a:cs typeface="Arial" panose="020B0604020202020204" pitchFamily="34" charset="0"/>
            </a:rPr>
            <a:t>и, как следствие, зависимости от версии ядра ОС, что дает возможность обновлять версию ядра ОС при использовании СЗИ</a:t>
          </a: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Современный графический интерфейс (</a:t>
          </a:r>
          <a:r>
            <a:rPr lang="en-US" sz="1100" b="1" i="0" u="none" strike="noStrike" baseline="0">
              <a:solidFill>
                <a:schemeClr val="dk1"/>
              </a:solidFill>
              <a:latin typeface="+mn-lt"/>
              <a:ea typeface="+mn-ea"/>
              <a:cs typeface="Arial" panose="020B0604020202020204" pitchFamily="34" charset="0"/>
            </a:rPr>
            <a:t>GUI), </a:t>
          </a:r>
          <a:r>
            <a:rPr lang="ru-RU" sz="1100" b="0" i="0" u="none" strike="noStrike" baseline="0">
              <a:solidFill>
                <a:schemeClr val="dk1"/>
              </a:solidFill>
              <a:latin typeface="+mn-lt"/>
              <a:ea typeface="+mn-ea"/>
              <a:cs typeface="Arial" panose="020B0604020202020204" pitchFamily="34" charset="0"/>
            </a:rPr>
            <a:t>выполненный в едином стиле с интерфейсом СЗИ </a:t>
          </a:r>
          <a:r>
            <a:rPr lang="en-US" sz="1100" b="0" i="0" u="none" strike="noStrike" baseline="0">
              <a:solidFill>
                <a:schemeClr val="dk1"/>
              </a:solidFill>
              <a:latin typeface="+mn-lt"/>
              <a:ea typeface="+mn-ea"/>
              <a:cs typeface="Arial" panose="020B0604020202020204" pitchFamily="34" charset="0"/>
            </a:rPr>
            <a:t>Dallas Lock 8.0, </a:t>
          </a:r>
          <a:r>
            <a:rPr lang="ru-RU" sz="1100" b="0" i="0" u="none" strike="noStrike" baseline="0">
              <a:solidFill>
                <a:schemeClr val="dk1"/>
              </a:solidFill>
              <a:latin typeface="+mn-lt"/>
              <a:ea typeface="+mn-ea"/>
              <a:cs typeface="Arial" panose="020B0604020202020204" pitchFamily="34" charset="0"/>
            </a:rPr>
            <a:t>обеспечивает удобство и интуитивную работу</a:t>
          </a: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Поддержка доменных учетных записей </a:t>
          </a:r>
          <a:r>
            <a:rPr lang="ru-RU" sz="1100" b="0" i="0" u="none" strike="noStrike" baseline="0">
              <a:solidFill>
                <a:schemeClr val="dk1"/>
              </a:solidFill>
              <a:latin typeface="+mn-lt"/>
              <a:ea typeface="+mn-ea"/>
              <a:cs typeface="Arial" panose="020B0604020202020204" pitchFamily="34" charset="0"/>
            </a:rPr>
            <a:t>(</a:t>
          </a:r>
          <a:r>
            <a:rPr lang="en-US" sz="1100" b="0" i="0" u="none" strike="noStrike" baseline="0">
              <a:solidFill>
                <a:schemeClr val="dk1"/>
              </a:solidFill>
              <a:latin typeface="+mn-lt"/>
              <a:ea typeface="+mn-ea"/>
              <a:cs typeface="Arial" panose="020B0604020202020204" pitchFamily="34" charset="0"/>
            </a:rPr>
            <a:t>Microsoft Active Directory, FreeIPA, Samba) </a:t>
          </a:r>
          <a:r>
            <a:rPr lang="ru-RU" sz="1100" b="0" i="0" u="none" strike="noStrike" baseline="0">
              <a:solidFill>
                <a:schemeClr val="dk1"/>
              </a:solidFill>
              <a:latin typeface="+mn-lt"/>
              <a:ea typeface="+mn-ea"/>
              <a:cs typeface="Arial" panose="020B0604020202020204" pitchFamily="34" charset="0"/>
            </a:rPr>
            <a:t>для упрощения управления пользователями</a:t>
          </a: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Контроль беспроводных устройств </a:t>
          </a:r>
          <a:r>
            <a:rPr lang="ru-RU" sz="1100" b="0" i="0" u="none" strike="noStrike" baseline="0">
              <a:solidFill>
                <a:schemeClr val="dk1"/>
              </a:solidFill>
              <a:latin typeface="+mn-lt"/>
              <a:ea typeface="+mn-ea"/>
              <a:cs typeface="Arial" panose="020B0604020202020204" pitchFamily="34" charset="0"/>
            </a:rPr>
            <a:t>— обеспечивает мониторинг и контроль за подключаемыми устройствами для повышения безопасности</a:t>
          </a: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Сертифицированные модули СКН, МЭ, СОВ </a:t>
          </a:r>
          <a:r>
            <a:rPr lang="ru-RU" sz="1100" b="0" i="0" u="none" strike="noStrike" baseline="0">
              <a:solidFill>
                <a:schemeClr val="dk1"/>
              </a:solidFill>
              <a:latin typeface="+mn-lt"/>
              <a:ea typeface="+mn-ea"/>
              <a:cs typeface="Arial" panose="020B0604020202020204" pitchFamily="34" charset="0"/>
            </a:rPr>
            <a:t>— гарантируют соответствие требованиям безопасности</a:t>
          </a:r>
        </a:p>
        <a:p>
          <a:pPr marL="171450" indent="-171450" algn="l" eaLnBrk="1" fontAlgn="auto" latinLnBrk="0" hangingPunct="1">
            <a:spcBef>
              <a:spcPts val="600"/>
            </a:spcBef>
            <a:buFont typeface="Wingdings" panose="05000000000000000000" pitchFamily="2" charset="2"/>
            <a:buChar char="v"/>
          </a:pPr>
          <a:r>
            <a:rPr lang="ru-RU" sz="1100" b="1" i="0" baseline="0">
              <a:solidFill>
                <a:schemeClr val="dk1"/>
              </a:solidFill>
              <a:effectLst/>
              <a:latin typeface="+mn-lt"/>
              <a:ea typeface="+mn-ea"/>
              <a:cs typeface="+mn-cs"/>
            </a:rPr>
            <a:t>Возможности </a:t>
          </a:r>
          <a:r>
            <a:rPr lang="en-US" sz="1100" b="1" i="0" baseline="0">
              <a:solidFill>
                <a:schemeClr val="dk1"/>
              </a:solidFill>
              <a:effectLst/>
              <a:latin typeface="+mn-lt"/>
              <a:ea typeface="+mn-ea"/>
              <a:cs typeface="+mn-cs"/>
            </a:rPr>
            <a:t>EDR </a:t>
          </a:r>
          <a:r>
            <a:rPr lang="ru-RU" sz="1100" b="1" i="0" baseline="0">
              <a:solidFill>
                <a:schemeClr val="dk1"/>
              </a:solidFill>
              <a:effectLst/>
              <a:latin typeface="+mn-lt"/>
              <a:ea typeface="+mn-ea"/>
              <a:cs typeface="+mn-cs"/>
            </a:rPr>
            <a:t>в новом модуле «Средство обнаружения и реагирования». </a:t>
          </a:r>
          <a:r>
            <a:rPr lang="ru-RU"/>
            <a:t>Позволяет сканировать систему на индикаторы компрометации (</a:t>
          </a:r>
          <a:r>
            <a:rPr lang="en-US"/>
            <a:t>IoC), </a:t>
          </a:r>
          <a:r>
            <a:rPr lang="ru-RU"/>
            <a:t>управлять их базой, настраивать автоматическое реагирование на угрозы и выполнять обновление </a:t>
          </a:r>
          <a:r>
            <a:rPr lang="en-US"/>
            <a:t>IoC.</a:t>
          </a:r>
          <a:r>
            <a:rPr lang="ru-RU" sz="1100" b="0" i="0" baseline="0">
              <a:solidFill>
                <a:schemeClr val="dk1"/>
              </a:solidFill>
              <a:effectLst/>
              <a:latin typeface="+mn-lt"/>
              <a:ea typeface="+mn-ea"/>
              <a:cs typeface="+mn-cs"/>
            </a:rPr>
            <a:t>*</a:t>
          </a:r>
          <a:r>
            <a:rPr lang="ru-RU" sz="1100" b="1" i="0" baseline="0">
              <a:solidFill>
                <a:schemeClr val="dk1"/>
              </a:solidFill>
              <a:effectLst/>
              <a:latin typeface="+mn-lt"/>
              <a:ea typeface="+mn-ea"/>
              <a:cs typeface="+mn-cs"/>
            </a:rPr>
            <a:t/>
          </a:r>
          <a:br>
            <a:rPr lang="ru-RU" sz="1100" b="1" i="0" baseline="0">
              <a:solidFill>
                <a:schemeClr val="dk1"/>
              </a:solidFill>
              <a:effectLst/>
              <a:latin typeface="+mn-lt"/>
              <a:ea typeface="+mn-ea"/>
              <a:cs typeface="+mn-cs"/>
            </a:rPr>
          </a:br>
          <a:r>
            <a:rPr lang="ru-RU" sz="1100" b="1" i="0" baseline="0">
              <a:solidFill>
                <a:schemeClr val="dk1"/>
              </a:solidFill>
              <a:effectLst/>
              <a:latin typeface="+mn-lt"/>
              <a:ea typeface="+mn-ea"/>
              <a:cs typeface="+mn-cs"/>
            </a:rPr>
            <a:t/>
          </a:r>
          <a:br>
            <a:rPr lang="ru-RU" sz="1100" b="1" i="0" baseline="0">
              <a:solidFill>
                <a:schemeClr val="dk1"/>
              </a:solidFill>
              <a:effectLst/>
              <a:latin typeface="+mn-lt"/>
              <a:ea typeface="+mn-ea"/>
              <a:cs typeface="+mn-cs"/>
            </a:rPr>
          </a:br>
          <a:r>
            <a:rPr lang="ru-RU" sz="1100" b="0" i="0" baseline="0">
              <a:solidFill>
                <a:schemeClr val="dk1"/>
              </a:solidFill>
              <a:effectLst/>
              <a:latin typeface="+mn-lt"/>
              <a:ea typeface="+mn-ea"/>
              <a:cs typeface="+mn-cs"/>
            </a:rPr>
            <a:t>* - функциональная возможность реализована и будет доступна в 3 квартале 2025 г.</a:t>
          </a:r>
          <a:endParaRPr lang="ru-RU"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14</xdr:col>
      <xdr:colOff>438150</xdr:colOff>
      <xdr:row>0</xdr:row>
      <xdr:rowOff>0</xdr:rowOff>
    </xdr:from>
    <xdr:to>
      <xdr:col>17</xdr:col>
      <xdr:colOff>0</xdr:colOff>
      <xdr:row>1</xdr:row>
      <xdr:rowOff>1</xdr:rowOff>
    </xdr:to>
    <xdr:sp macro="" textlink="">
      <xdr:nvSpPr>
        <xdr:cNvPr id="4" name="Прямоугольник 3">
          <a:hlinkClick xmlns:r="http://schemas.openxmlformats.org/officeDocument/2006/relationships" r:id="rId1"/>
          <a:extLst>
            <a:ext uri="{FF2B5EF4-FFF2-40B4-BE49-F238E27FC236}">
              <a16:creationId xmlns:a16="http://schemas.microsoft.com/office/drawing/2014/main" xmlns="" id="{00000000-0008-0000-0C00-000004000000}"/>
            </a:ext>
          </a:extLst>
        </xdr:cNvPr>
        <xdr:cNvSpPr/>
      </xdr:nvSpPr>
      <xdr:spPr>
        <a:xfrm>
          <a:off x="8972550" y="0"/>
          <a:ext cx="1390650" cy="1905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15</xdr:col>
      <xdr:colOff>231321</xdr:colOff>
      <xdr:row>51</xdr:row>
      <xdr:rowOff>0</xdr:rowOff>
    </xdr:from>
    <xdr:to>
      <xdr:col>17</xdr:col>
      <xdr:colOff>2923</xdr:colOff>
      <xdr:row>52</xdr:row>
      <xdr:rowOff>82</xdr:rowOff>
    </xdr:to>
    <xdr:sp macro="" textlink="">
      <xdr:nvSpPr>
        <xdr:cNvPr id="5" name="Прямоугольник 4">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9375321" y="9715500"/>
          <a:ext cx="990802" cy="1905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oneCellAnchor>
    <xdr:from>
      <xdr:col>15</xdr:col>
      <xdr:colOff>266700</xdr:colOff>
      <xdr:row>0</xdr:row>
      <xdr:rowOff>188997</xdr:rowOff>
    </xdr:from>
    <xdr:ext cx="179409" cy="179409"/>
    <xdr:pic>
      <xdr:nvPicPr>
        <xdr:cNvPr id="6" name="Рисунок 5">
          <a:extLst>
            <a:ext uri="{FF2B5EF4-FFF2-40B4-BE49-F238E27FC236}">
              <a16:creationId xmlns:a16="http://schemas.microsoft.com/office/drawing/2014/main" xmlns="" id="{00000000-0008-0000-0C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10700" y="188997"/>
          <a:ext cx="179409" cy="179409"/>
        </a:xfrm>
        <a:prstGeom prst="rect">
          <a:avLst/>
        </a:prstGeom>
      </xdr:spPr>
    </xdr:pic>
    <xdr:clientData/>
  </xdr:oneCellAnchor>
  <xdr:oneCellAnchor>
    <xdr:from>
      <xdr:col>15</xdr:col>
      <xdr:colOff>314562</xdr:colOff>
      <xdr:row>5</xdr:row>
      <xdr:rowOff>164453</xdr:rowOff>
    </xdr:from>
    <xdr:ext cx="210685" cy="204335"/>
    <xdr:pic>
      <xdr:nvPicPr>
        <xdr:cNvPr id="7" name="Рисунок 6">
          <a:extLst>
            <a:ext uri="{FF2B5EF4-FFF2-40B4-BE49-F238E27FC236}">
              <a16:creationId xmlns:a16="http://schemas.microsoft.com/office/drawing/2014/main" xmlns="" id="{00000000-0008-0000-0C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58562" y="1116953"/>
          <a:ext cx="210685" cy="204335"/>
        </a:xfrm>
        <a:prstGeom prst="rect">
          <a:avLst/>
        </a:prstGeom>
      </xdr:spPr>
    </xdr:pic>
    <xdr:clientData/>
  </xdr:oneCellAnchor>
  <xdr:oneCellAnchor>
    <xdr:from>
      <xdr:col>15</xdr:col>
      <xdr:colOff>266700</xdr:colOff>
      <xdr:row>8</xdr:row>
      <xdr:rowOff>174243</xdr:rowOff>
    </xdr:from>
    <xdr:ext cx="179409" cy="185759"/>
    <xdr:pic>
      <xdr:nvPicPr>
        <xdr:cNvPr id="8" name="Рисунок 7">
          <a:extLst>
            <a:ext uri="{FF2B5EF4-FFF2-40B4-BE49-F238E27FC236}">
              <a16:creationId xmlns:a16="http://schemas.microsoft.com/office/drawing/2014/main" xmlns="" id="{00000000-0008-0000-0C00-000008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10700" y="1698243"/>
          <a:ext cx="179409" cy="185759"/>
        </a:xfrm>
        <a:prstGeom prst="rect">
          <a:avLst/>
        </a:prstGeom>
      </xdr:spPr>
    </xdr:pic>
    <xdr:clientData/>
  </xdr:oneCellAnchor>
  <xdr:twoCellAnchor>
    <xdr:from>
      <xdr:col>1</xdr:col>
      <xdr:colOff>1031</xdr:colOff>
      <xdr:row>1</xdr:row>
      <xdr:rowOff>1500764</xdr:rowOff>
    </xdr:from>
    <xdr:to>
      <xdr:col>13</xdr:col>
      <xdr:colOff>440197</xdr:colOff>
      <xdr:row>4</xdr:row>
      <xdr:rowOff>105101</xdr:rowOff>
    </xdr:to>
    <xdr:sp macro="" textlink="">
      <xdr:nvSpPr>
        <xdr:cNvPr id="9" name="TextBox 8">
          <a:extLst>
            <a:ext uri="{FF2B5EF4-FFF2-40B4-BE49-F238E27FC236}">
              <a16:creationId xmlns:a16="http://schemas.microsoft.com/office/drawing/2014/main" xmlns="" id="{00000000-0008-0000-0C00-000009000000}"/>
            </a:ext>
          </a:extLst>
        </xdr:cNvPr>
        <xdr:cNvSpPr txBox="1"/>
      </xdr:nvSpPr>
      <xdr:spPr>
        <a:xfrm>
          <a:off x="610631" y="376814"/>
          <a:ext cx="7754366" cy="490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ru-RU" sz="1400" b="1" i="0" u="none" baseline="0">
              <a:solidFill>
                <a:schemeClr val="dk1"/>
              </a:solidFill>
              <a:effectLst/>
              <a:latin typeface="+mn-lt"/>
              <a:ea typeface="+mn-ea"/>
              <a:cs typeface="+mn-cs"/>
            </a:rPr>
            <a:t>Ключевые особенности:</a:t>
          </a:r>
          <a:endParaRPr lang="ru-RU" sz="1100" b="1" i="0" u="none" strike="noStrike" baseline="0">
            <a:solidFill>
              <a:schemeClr val="dk1"/>
            </a:solidFill>
            <a:latin typeface="+mn-lt"/>
            <a:ea typeface="+mn-ea"/>
            <a:cs typeface="Arial" panose="020B0604020202020204" pitchFamily="34" charset="0"/>
          </a:endParaRP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Централизованное управление несколькими серверами</a:t>
          </a:r>
          <a:r>
            <a:rPr lang="ru-RU" sz="1100" b="0" i="0" u="none" strike="noStrike" baseline="0">
              <a:solidFill>
                <a:schemeClr val="dk1"/>
              </a:solidFill>
              <a:latin typeface="+mn-lt"/>
              <a:ea typeface="+mn-ea"/>
              <a:cs typeface="Arial" panose="020B0604020202020204" pitchFamily="34" charset="0"/>
            </a:rPr>
            <a:t> виртуализации из единой консоли</a:t>
          </a: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Современный </a:t>
          </a:r>
          <a:r>
            <a:rPr lang="en-US" sz="1100" b="1" i="0" u="none" strike="noStrike" baseline="0">
              <a:solidFill>
                <a:schemeClr val="dk1"/>
              </a:solidFill>
              <a:latin typeface="+mn-lt"/>
              <a:ea typeface="+mn-ea"/>
              <a:cs typeface="Arial" panose="020B0604020202020204" pitchFamily="34" charset="0"/>
            </a:rPr>
            <a:t>Web-</a:t>
          </a:r>
          <a:r>
            <a:rPr lang="ru-RU" sz="1100" b="1" i="0" u="none" strike="noStrike" baseline="0">
              <a:solidFill>
                <a:schemeClr val="dk1"/>
              </a:solidFill>
              <a:latin typeface="+mn-lt"/>
              <a:ea typeface="+mn-ea"/>
              <a:cs typeface="Arial" panose="020B0604020202020204" pitchFamily="34" charset="0"/>
            </a:rPr>
            <a:t>интерфейс </a:t>
          </a:r>
          <a:r>
            <a:rPr lang="ru-RU" sz="1100" b="0" i="0" u="none" strike="noStrike" baseline="0">
              <a:solidFill>
                <a:schemeClr val="dk1"/>
              </a:solidFill>
              <a:latin typeface="+mn-lt"/>
              <a:ea typeface="+mn-ea"/>
              <a:cs typeface="Arial" panose="020B0604020202020204" pitchFamily="34" charset="0"/>
            </a:rPr>
            <a:t>для администрирования и мониторинга, обеспечивающий удобный доступ к функционалу системы из любой точки сети</a:t>
          </a: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Контроль целостности </a:t>
          </a:r>
          <a:r>
            <a:rPr lang="ru-RU" sz="1100" b="0" i="0" u="none" strike="noStrike" baseline="0">
              <a:solidFill>
                <a:schemeClr val="dk1"/>
              </a:solidFill>
              <a:latin typeface="+mn-lt"/>
              <a:ea typeface="+mn-ea"/>
              <a:cs typeface="Arial" panose="020B0604020202020204" pitchFamily="34" charset="0"/>
            </a:rPr>
            <a:t>виртуальных машин, включая </a:t>
          </a:r>
          <a:r>
            <a:rPr lang="en-US" sz="1100" b="0" i="0" u="none" strike="noStrike" baseline="0">
              <a:solidFill>
                <a:schemeClr val="dk1"/>
              </a:solidFill>
              <a:latin typeface="+mn-lt"/>
              <a:ea typeface="+mn-ea"/>
              <a:cs typeface="Arial" panose="020B0604020202020204" pitchFamily="34" charset="0"/>
            </a:rPr>
            <a:t>BIOS, </a:t>
          </a:r>
          <a:r>
            <a:rPr lang="ru-RU" sz="1100" b="0" i="0" u="none" strike="noStrike" baseline="0">
              <a:solidFill>
                <a:schemeClr val="dk1"/>
              </a:solidFill>
              <a:latin typeface="+mn-lt"/>
              <a:ea typeface="+mn-ea"/>
              <a:cs typeface="Arial" panose="020B0604020202020204" pitchFamily="34" charset="0"/>
            </a:rPr>
            <a:t>конфигурации и образы до загрузки ОС</a:t>
          </a: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Разграничение доступа </a:t>
          </a:r>
          <a:r>
            <a:rPr lang="ru-RU" sz="1100" b="0" i="0" u="none" strike="noStrike" baseline="0">
              <a:solidFill>
                <a:schemeClr val="dk1"/>
              </a:solidFill>
              <a:latin typeface="+mn-lt"/>
              <a:ea typeface="+mn-ea"/>
              <a:cs typeface="Arial" panose="020B0604020202020204" pitchFamily="34" charset="0"/>
            </a:rPr>
            <a:t>на основе ролевой и дискреционной моделей</a:t>
          </a:r>
          <a:endParaRPr lang="ru-RU" sz="1100" b="1" i="0" u="none" strike="noStrike" baseline="0">
            <a:solidFill>
              <a:schemeClr val="dk1"/>
            </a:solidFill>
            <a:latin typeface="+mn-lt"/>
            <a:ea typeface="+mn-ea"/>
            <a:cs typeface="Arial" panose="020B0604020202020204" pitchFamily="34" charset="0"/>
          </a:endParaRP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Защита от остаточной информации </a:t>
          </a:r>
          <a:r>
            <a:rPr lang="ru-RU" sz="1100" b="0" i="0" u="none" strike="noStrike" baseline="0">
              <a:solidFill>
                <a:schemeClr val="dk1"/>
              </a:solidFill>
              <a:latin typeface="+mn-lt"/>
              <a:ea typeface="+mn-ea"/>
              <a:cs typeface="Arial" panose="020B0604020202020204" pitchFamily="34" charset="0"/>
            </a:rPr>
            <a:t>в памяти и на внешних накопителях</a:t>
          </a: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Интеграция с другими решениями </a:t>
          </a:r>
          <a:r>
            <a:rPr lang="en-US" sz="1100" b="1"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для защиты как виртуальной, так и физической инфраструктуры</a:t>
          </a:r>
        </a:p>
        <a:p>
          <a:pPr marL="171450" indent="-171450" algn="l">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Фильтрация сетевого трафика по предустановленным правилам </a:t>
          </a:r>
          <a:r>
            <a:rPr lang="ru-RU" sz="1100" b="0" i="0" u="none" strike="noStrike" baseline="0">
              <a:solidFill>
                <a:schemeClr val="dk1"/>
              </a:solidFill>
              <a:latin typeface="+mn-lt"/>
              <a:ea typeface="+mn-ea"/>
              <a:cs typeface="Arial" panose="020B0604020202020204" pitchFamily="34" charset="0"/>
            </a:rPr>
            <a:t>— предотвращает атаки и утечки данных за счет фильтрации трафика между виртуальными машинами</a:t>
          </a:r>
        </a:p>
        <a:p>
          <a:pPr marL="171450" indent="-171450" algn="l">
            <a:spcBef>
              <a:spcPts val="600"/>
            </a:spcBef>
            <a:buFont typeface="Wingdings" panose="05000000000000000000" pitchFamily="2" charset="2"/>
            <a:buChar char="v"/>
          </a:pPr>
          <a:endParaRPr lang="ru-RU" sz="1100" b="0" i="0" u="none" strike="noStrike" baseline="0">
            <a:solidFill>
              <a:schemeClr val="dk1"/>
            </a:solidFill>
            <a:latin typeface="+mn-lt"/>
            <a:ea typeface="+mn-ea"/>
            <a:cs typeface="Arial" panose="020B0604020202020204" pitchFamily="34" charset="0"/>
          </a:endParaRPr>
        </a:p>
        <a:p>
          <a:pPr marL="171450" indent="-171450" algn="l">
            <a:spcBef>
              <a:spcPts val="600"/>
            </a:spcBef>
            <a:buFont typeface="Wingdings" panose="05000000000000000000" pitchFamily="2" charset="2"/>
            <a:buChar char="v"/>
          </a:pPr>
          <a:endParaRPr lang="ru-RU" sz="1100" b="0" i="0" u="none" strike="noStrike" baseline="0">
            <a:solidFill>
              <a:schemeClr val="dk1"/>
            </a:solidFill>
            <a:latin typeface="+mn-lt"/>
            <a:ea typeface="+mn-ea"/>
            <a:cs typeface="Arial" panose="020B0604020202020204" pitchFamily="34" charset="0"/>
          </a:endParaRPr>
        </a:p>
        <a:p>
          <a:pPr marL="171450" indent="-171450" algn="l">
            <a:spcBef>
              <a:spcPts val="600"/>
            </a:spcBef>
            <a:buFont typeface="Wingdings" panose="05000000000000000000" pitchFamily="2" charset="2"/>
            <a:buChar char="v"/>
          </a:pPr>
          <a:endParaRPr lang="ru-RU"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15</xdr:col>
      <xdr:colOff>9525</xdr:colOff>
      <xdr:row>4</xdr:row>
      <xdr:rowOff>352927</xdr:rowOff>
    </xdr:from>
    <xdr:to>
      <xdr:col>16</xdr:col>
      <xdr:colOff>590550</xdr:colOff>
      <xdr:row>5</xdr:row>
      <xdr:rowOff>495300</xdr:rowOff>
    </xdr:to>
    <xdr:sp macro="" textlink="">
      <xdr:nvSpPr>
        <xdr:cNvPr id="10" name="Прямоугольник 9">
          <a:hlinkClick xmlns:r="http://schemas.openxmlformats.org/officeDocument/2006/relationships" r:id="rId4"/>
          <a:extLst>
            <a:ext uri="{FF2B5EF4-FFF2-40B4-BE49-F238E27FC236}">
              <a16:creationId xmlns:a16="http://schemas.microsoft.com/office/drawing/2014/main" xmlns="" id="{00000000-0008-0000-0C00-00000A000000}"/>
            </a:ext>
          </a:extLst>
        </xdr:cNvPr>
        <xdr:cNvSpPr/>
      </xdr:nvSpPr>
      <xdr:spPr>
        <a:xfrm>
          <a:off x="9153525" y="953002"/>
          <a:ext cx="1190625" cy="1899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15</xdr:col>
      <xdr:colOff>86178</xdr:colOff>
      <xdr:row>7</xdr:row>
      <xdr:rowOff>836387</xdr:rowOff>
    </xdr:from>
    <xdr:to>
      <xdr:col>17</xdr:col>
      <xdr:colOff>5443</xdr:colOff>
      <xdr:row>9</xdr:row>
      <xdr:rowOff>9120</xdr:rowOff>
    </xdr:to>
    <xdr:sp macro="" textlink="">
      <xdr:nvSpPr>
        <xdr:cNvPr id="11" name="Прямоугольник 10">
          <a:hlinkClick xmlns:r="http://schemas.openxmlformats.org/officeDocument/2006/relationships" r:id="rId5"/>
          <a:extLst>
            <a:ext uri="{FF2B5EF4-FFF2-40B4-BE49-F238E27FC236}">
              <a16:creationId xmlns:a16="http://schemas.microsoft.com/office/drawing/2014/main" xmlns="" id="{00000000-0008-0000-0C00-00000B000000}"/>
            </a:ext>
          </a:extLst>
        </xdr:cNvPr>
        <xdr:cNvSpPr/>
      </xdr:nvSpPr>
      <xdr:spPr>
        <a:xfrm>
          <a:off x="9230178" y="1522187"/>
          <a:ext cx="1138465" cy="2014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15</xdr:col>
      <xdr:colOff>217714</xdr:colOff>
      <xdr:row>10</xdr:row>
      <xdr:rowOff>925286</xdr:rowOff>
    </xdr:from>
    <xdr:to>
      <xdr:col>17</xdr:col>
      <xdr:colOff>10433</xdr:colOff>
      <xdr:row>11</xdr:row>
      <xdr:rowOff>517071</xdr:rowOff>
    </xdr:to>
    <xdr:sp macro="" textlink="">
      <xdr:nvSpPr>
        <xdr:cNvPr id="12" name="Прямоугольник 11">
          <a:hlinkClick xmlns:r="http://schemas.openxmlformats.org/officeDocument/2006/relationships" r:id="rId6"/>
          <a:extLst>
            <a:ext uri="{FF2B5EF4-FFF2-40B4-BE49-F238E27FC236}">
              <a16:creationId xmlns:a16="http://schemas.microsoft.com/office/drawing/2014/main" xmlns="" id="{00000000-0008-0000-0C00-00000C000000}"/>
            </a:ext>
          </a:extLst>
        </xdr:cNvPr>
        <xdr:cNvSpPr/>
      </xdr:nvSpPr>
      <xdr:spPr>
        <a:xfrm>
          <a:off x="9361714" y="2096861"/>
          <a:ext cx="1011919" cy="1918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15</xdr:col>
      <xdr:colOff>323396</xdr:colOff>
      <xdr:row>14</xdr:row>
      <xdr:rowOff>35551</xdr:rowOff>
    </xdr:from>
    <xdr:to>
      <xdr:col>16</xdr:col>
      <xdr:colOff>612321</xdr:colOff>
      <xdr:row>14</xdr:row>
      <xdr:rowOff>497846</xdr:rowOff>
    </xdr:to>
    <xdr:sp macro="" textlink="">
      <xdr:nvSpPr>
        <xdr:cNvPr id="13" name="Прямоугольник 12">
          <a:hlinkClick xmlns:r="http://schemas.openxmlformats.org/officeDocument/2006/relationships" r:id="rId7"/>
          <a:extLst>
            <a:ext uri="{FF2B5EF4-FFF2-40B4-BE49-F238E27FC236}">
              <a16:creationId xmlns:a16="http://schemas.microsoft.com/office/drawing/2014/main" xmlns="" id="{00000000-0008-0000-0C00-00000D000000}"/>
            </a:ext>
          </a:extLst>
        </xdr:cNvPr>
        <xdr:cNvSpPr/>
      </xdr:nvSpPr>
      <xdr:spPr>
        <a:xfrm>
          <a:off x="9467396" y="2702551"/>
          <a:ext cx="898525" cy="1574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76200</xdr:colOff>
      <xdr:row>6</xdr:row>
      <xdr:rowOff>2276927</xdr:rowOff>
    </xdr:from>
    <xdr:to>
      <xdr:col>14</xdr:col>
      <xdr:colOff>196850</xdr:colOff>
      <xdr:row>7</xdr:row>
      <xdr:rowOff>482680</xdr:rowOff>
    </xdr:to>
    <xdr:sp macro="" textlink="">
      <xdr:nvSpPr>
        <xdr:cNvPr id="14" name="TextBox 13">
          <a:extLst>
            <a:ext uri="{FF2B5EF4-FFF2-40B4-BE49-F238E27FC236}">
              <a16:creationId xmlns:a16="http://schemas.microsoft.com/office/drawing/2014/main" xmlns="" id="{00000000-0008-0000-0C00-00000E000000}"/>
            </a:ext>
          </a:extLst>
        </xdr:cNvPr>
        <xdr:cNvSpPr txBox="1"/>
      </xdr:nvSpPr>
      <xdr:spPr>
        <a:xfrm>
          <a:off x="685800" y="1333952"/>
          <a:ext cx="8045450" cy="186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ru-RU">
            <a:effectLst/>
          </a:endParaRPr>
        </a:p>
        <a:p>
          <a:pPr eaLnBrk="1" fontAlgn="auto" latinLnBrk="0" hangingPunct="1"/>
          <a:r>
            <a:rPr lang="ru-RU" sz="1400" b="1" i="0" u="none" baseline="0">
              <a:solidFill>
                <a:schemeClr val="dk1"/>
              </a:solidFill>
              <a:effectLst/>
              <a:latin typeface="+mn-lt"/>
              <a:ea typeface="+mn-ea"/>
              <a:cs typeface="+mn-cs"/>
            </a:rPr>
            <a:t>Ключевые особенности СДЗ:</a:t>
          </a: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Централизованное управление </a:t>
          </a:r>
          <a:r>
            <a:rPr lang="ru-RU" sz="1100" b="0" i="0" u="none" strike="noStrike" baseline="0">
              <a:solidFill>
                <a:schemeClr val="dk1"/>
              </a:solidFill>
              <a:latin typeface="+mn-lt"/>
              <a:ea typeface="+mn-ea"/>
              <a:cs typeface="Arial" panose="020B0604020202020204" pitchFamily="34" charset="0"/>
            </a:rPr>
            <a:t>настройками СДЗ из Единого центра управления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без использования клиентского ПО</a:t>
          </a: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Функционирование независимо от ОС </a:t>
          </a:r>
          <a:r>
            <a:rPr lang="ru-RU" sz="1100" b="0" i="0" u="none" strike="noStrike" baseline="0">
              <a:solidFill>
                <a:schemeClr val="dk1"/>
              </a:solidFill>
              <a:latin typeface="+mn-lt"/>
              <a:ea typeface="+mn-ea"/>
              <a:cs typeface="Arial" panose="020B0604020202020204" pitchFamily="34" charset="0"/>
            </a:rPr>
            <a:t>и поддержка широкого спектра файловых систем, в том числе файловой системы сред виртуализации </a:t>
          </a:r>
          <a:r>
            <a:rPr lang="en-US" sz="1100" b="0" i="0" u="none" strike="noStrike" baseline="0">
              <a:solidFill>
                <a:schemeClr val="dk1"/>
              </a:solidFill>
              <a:latin typeface="+mn-lt"/>
              <a:ea typeface="+mn-ea"/>
              <a:cs typeface="Arial" panose="020B0604020202020204" pitchFamily="34" charset="0"/>
            </a:rPr>
            <a:t>VMFS</a:t>
          </a:r>
          <a:endParaRPr lang="ru-RU" sz="1100" b="0" i="0" u="none" strike="noStrike" baseline="0">
            <a:solidFill>
              <a:schemeClr val="dk1"/>
            </a:solidFill>
            <a:latin typeface="+mn-lt"/>
            <a:ea typeface="+mn-ea"/>
            <a:cs typeface="Arial" panose="020B0604020202020204" pitchFamily="34" charset="0"/>
          </a:endParaRPr>
        </a:p>
        <a:p>
          <a:pPr marL="171450" indent="-171450" algn="l"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Администрирование СДЗ осуществляется без использования ресурсов загружаемой штатной ОС</a:t>
          </a:r>
          <a:r>
            <a:rPr lang="ru-RU" sz="1100" b="0" i="0" u="none" strike="noStrike" baseline="0">
              <a:solidFill>
                <a:schemeClr val="dk1"/>
              </a:solidFill>
              <a:latin typeface="+mn-lt"/>
              <a:ea typeface="+mn-ea"/>
              <a:cs typeface="Arial" panose="020B0604020202020204" pitchFamily="34" charset="0"/>
            </a:rPr>
            <a:t>, что соответствует требованиям ФСТЭК к средствам доверенной загрузки</a:t>
          </a:r>
        </a:p>
        <a:p>
          <a:pPr marL="171450" indent="-171450" algn="l" rtl="0"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Осуществение контроля целостности программно-аппаратной среды</a:t>
          </a:r>
        </a:p>
        <a:p>
          <a:pPr marL="171450" indent="-171450" algn="l" rtl="0" eaLnBrk="1" fontAlgn="auto" latinLnBrk="0" hangingPunct="1">
            <a:spcBef>
              <a:spcPts val="600"/>
            </a:spcBef>
            <a:buFont typeface="Wingdings" panose="05000000000000000000" pitchFamily="2" charset="2"/>
            <a:buChar char="v"/>
          </a:pPr>
          <a:r>
            <a:rPr lang="ru-RU" sz="1100" b="1" i="0" u="none" strike="noStrike" baseline="0">
              <a:solidFill>
                <a:schemeClr val="dk1"/>
              </a:solidFill>
              <a:latin typeface="+mn-lt"/>
              <a:ea typeface="+mn-ea"/>
              <a:cs typeface="Arial" panose="020B0604020202020204" pitchFamily="34" charset="0"/>
            </a:rPr>
            <a:t>Поддержка широкого с</a:t>
          </a:r>
          <a:r>
            <a:rPr lang="ru-RU" sz="1100" b="1" i="0" baseline="0">
              <a:solidFill>
                <a:schemeClr val="dk1"/>
              </a:solidFill>
              <a:effectLst/>
              <a:latin typeface="+mn-lt"/>
              <a:ea typeface="+mn-ea"/>
              <a:cs typeface="+mn-cs"/>
            </a:rPr>
            <a:t>пектра аппаратных идентификаторов</a:t>
          </a:r>
          <a:r>
            <a:rPr lang="ru-RU" sz="1100" b="0" i="0" baseline="0">
              <a:solidFill>
                <a:schemeClr val="dk1"/>
              </a:solidFill>
              <a:effectLst/>
              <a:latin typeface="+mn-lt"/>
              <a:ea typeface="+mn-ea"/>
              <a:cs typeface="+mn-cs"/>
            </a:rPr>
            <a:t>:</a:t>
          </a:r>
        </a:p>
        <a:p>
          <a:pPr marL="628650" lvl="1" indent="-171450" eaLnBrk="1" fontAlgn="auto" latinLnBrk="0" hangingPunct="1">
            <a:spcBef>
              <a:spcPts val="600"/>
            </a:spcBef>
            <a:buFont typeface="Courier New" panose="02070309020205020404" pitchFamily="49" charset="0"/>
            <a:buChar char="o"/>
          </a:pPr>
          <a:r>
            <a:rPr lang="en-US" sz="1100">
              <a:solidFill>
                <a:schemeClr val="dk1"/>
              </a:solidFill>
              <a:effectLst/>
              <a:latin typeface="+mn-lt"/>
              <a:ea typeface="+mn-ea"/>
              <a:cs typeface="+mn-cs"/>
            </a:rPr>
            <a:t>USB-</a:t>
          </a:r>
          <a:r>
            <a:rPr lang="ru-RU" sz="1100">
              <a:solidFill>
                <a:schemeClr val="dk1"/>
              </a:solidFill>
              <a:effectLst/>
              <a:latin typeface="+mn-lt"/>
              <a:ea typeface="+mn-ea"/>
              <a:cs typeface="+mn-cs"/>
            </a:rPr>
            <a:t>ключи и смарт-карты </a:t>
          </a:r>
          <a:r>
            <a:rPr lang="en-US" sz="1100">
              <a:solidFill>
                <a:schemeClr val="dk1"/>
              </a:solidFill>
              <a:effectLst/>
              <a:latin typeface="+mn-lt"/>
              <a:ea typeface="+mn-ea"/>
              <a:cs typeface="+mn-cs"/>
            </a:rPr>
            <a:t>Aladdin eToken Pro/Java</a:t>
          </a:r>
          <a:endParaRPr lang="ru-RU">
            <a:effectLst/>
          </a:endParaRPr>
        </a:p>
        <a:p>
          <a:pPr marL="628650" lvl="1" indent="-171450" eaLnBrk="1" fontAlgn="auto" latinLnBrk="0" hangingPunct="1">
            <a:spcBef>
              <a:spcPts val="600"/>
            </a:spcBef>
            <a:buFont typeface="Courier New" panose="02070309020205020404" pitchFamily="49" charset="0"/>
            <a:buChar char="o"/>
          </a:pPr>
          <a:r>
            <a:rPr lang="en-US" sz="1100">
              <a:solidFill>
                <a:schemeClr val="dk1"/>
              </a:solidFill>
              <a:effectLst/>
              <a:latin typeface="+mn-lt"/>
              <a:ea typeface="+mn-ea"/>
              <a:cs typeface="+mn-cs"/>
            </a:rPr>
            <a:t>USB-</a:t>
          </a:r>
          <a:r>
            <a:rPr lang="ru-RU" sz="1100">
              <a:solidFill>
                <a:schemeClr val="dk1"/>
              </a:solidFill>
              <a:effectLst/>
              <a:latin typeface="+mn-lt"/>
              <a:ea typeface="+mn-ea"/>
              <a:cs typeface="+mn-cs"/>
            </a:rPr>
            <a:t>ключи и смарт-карты Рутокен </a:t>
          </a:r>
          <a:endParaRPr lang="ru-RU">
            <a:effectLst/>
          </a:endParaRPr>
        </a:p>
        <a:p>
          <a:pPr marL="628650" lvl="1" indent="-171450" eaLnBrk="1" fontAlgn="auto" latinLnBrk="0" hangingPunct="1">
            <a:spcBef>
              <a:spcPts val="600"/>
            </a:spcBef>
            <a:buFont typeface="Courier New" panose="02070309020205020404" pitchFamily="49" charset="0"/>
            <a:buChar char="o"/>
          </a:pPr>
          <a:r>
            <a:rPr lang="ru-RU" sz="1100">
              <a:solidFill>
                <a:schemeClr val="dk1"/>
              </a:solidFill>
              <a:effectLst/>
              <a:latin typeface="+mn-lt"/>
              <a:ea typeface="+mn-ea"/>
              <a:cs typeface="+mn-cs"/>
            </a:rPr>
            <a:t>электронные ключи </a:t>
          </a:r>
          <a:r>
            <a:rPr lang="en-US" sz="1100">
              <a:solidFill>
                <a:schemeClr val="dk1"/>
              </a:solidFill>
              <a:effectLst/>
              <a:latin typeface="+mn-lt"/>
              <a:ea typeface="+mn-ea"/>
              <a:cs typeface="+mn-cs"/>
            </a:rPr>
            <a:t>Touch Memory (iButton)</a:t>
          </a:r>
          <a:endParaRPr lang="ru-RU">
            <a:effectLst/>
          </a:endParaRPr>
        </a:p>
        <a:p>
          <a:pPr marL="628650" lvl="1" indent="-171450" eaLnBrk="1" fontAlgn="auto" latinLnBrk="0" hangingPunct="1">
            <a:spcBef>
              <a:spcPts val="600"/>
            </a:spcBef>
            <a:buFont typeface="Courier New" panose="02070309020205020404" pitchFamily="49" charset="0"/>
            <a:buChar char="o"/>
          </a:pPr>
          <a:r>
            <a:rPr lang="en-US" sz="1100">
              <a:solidFill>
                <a:schemeClr val="dk1"/>
              </a:solidFill>
              <a:effectLst/>
              <a:latin typeface="+mn-lt"/>
              <a:ea typeface="+mn-ea"/>
              <a:cs typeface="+mn-cs"/>
            </a:rPr>
            <a:t>USB-</a:t>
          </a:r>
          <a:r>
            <a:rPr lang="ru-RU" sz="1100">
              <a:solidFill>
                <a:schemeClr val="dk1"/>
              </a:solidFill>
              <a:effectLst/>
              <a:latin typeface="+mn-lt"/>
              <a:ea typeface="+mn-ea"/>
              <a:cs typeface="+mn-cs"/>
            </a:rPr>
            <a:t>ключи и смарт-карты </a:t>
          </a:r>
          <a:r>
            <a:rPr lang="en-US" sz="1100">
              <a:solidFill>
                <a:schemeClr val="dk1"/>
              </a:solidFill>
              <a:effectLst/>
              <a:latin typeface="+mn-lt"/>
              <a:ea typeface="+mn-ea"/>
              <a:cs typeface="+mn-cs"/>
            </a:rPr>
            <a:t>ESMART </a:t>
          </a:r>
          <a:endParaRPr lang="ru-RU" sz="1100">
            <a:solidFill>
              <a:schemeClr val="dk1"/>
            </a:solidFill>
            <a:effectLst/>
            <a:latin typeface="+mn-lt"/>
            <a:ea typeface="+mn-ea"/>
            <a:cs typeface="+mn-cs"/>
          </a:endParaRPr>
        </a:p>
        <a:p>
          <a:pPr marL="628650" lvl="1" indent="-171450" eaLnBrk="1" fontAlgn="auto" latinLnBrk="0" hangingPunct="1">
            <a:spcBef>
              <a:spcPts val="600"/>
            </a:spcBef>
            <a:buFont typeface="Courier New" panose="02070309020205020404" pitchFamily="49" charset="0"/>
            <a:buChar char="o"/>
          </a:pPr>
          <a:r>
            <a:rPr lang="en-US" sz="1100">
              <a:solidFill>
                <a:schemeClr val="dk1"/>
              </a:solidFill>
              <a:effectLst/>
              <a:latin typeface="+mn-lt"/>
              <a:ea typeface="+mn-ea"/>
              <a:cs typeface="+mn-cs"/>
            </a:rPr>
            <a:t>USB-</a:t>
          </a:r>
          <a:r>
            <a:rPr lang="ru-RU" sz="1100">
              <a:solidFill>
                <a:schemeClr val="dk1"/>
              </a:solidFill>
              <a:effectLst/>
              <a:latin typeface="+mn-lt"/>
              <a:ea typeface="+mn-ea"/>
              <a:cs typeface="+mn-cs"/>
            </a:rPr>
            <a:t>ключи и смарт- карты </a:t>
          </a:r>
          <a:r>
            <a:rPr lang="en-US" sz="1100">
              <a:solidFill>
                <a:schemeClr val="dk1"/>
              </a:solidFill>
              <a:effectLst/>
              <a:latin typeface="+mn-lt"/>
              <a:ea typeface="+mn-ea"/>
              <a:cs typeface="+mn-cs"/>
            </a:rPr>
            <a:t>JaCarta </a:t>
          </a:r>
          <a:endParaRPr lang="ru-RU" sz="1100">
            <a:solidFill>
              <a:schemeClr val="dk1"/>
            </a:solidFill>
            <a:effectLst/>
            <a:latin typeface="+mn-lt"/>
            <a:ea typeface="+mn-ea"/>
            <a:cs typeface="+mn-cs"/>
          </a:endParaRPr>
        </a:p>
        <a:p>
          <a:pPr marL="628650" lvl="1" indent="-171450" eaLnBrk="1" fontAlgn="auto" latinLnBrk="0" hangingPunct="1">
            <a:spcBef>
              <a:spcPts val="600"/>
            </a:spcBef>
            <a:buFont typeface="Courier New" panose="02070309020205020404" pitchFamily="49" charset="0"/>
            <a:buChar char="o"/>
          </a:pPr>
          <a:r>
            <a:rPr lang="en-US" sz="1100">
              <a:solidFill>
                <a:schemeClr val="dk1"/>
              </a:solidFill>
              <a:effectLst/>
              <a:latin typeface="+mn-lt"/>
              <a:ea typeface="+mn-ea"/>
              <a:cs typeface="+mn-cs"/>
            </a:rPr>
            <a:t>USB-</a:t>
          </a:r>
          <a:r>
            <a:rPr lang="ru-RU" sz="1100">
              <a:solidFill>
                <a:schemeClr val="dk1"/>
              </a:solidFill>
              <a:effectLst/>
              <a:latin typeface="+mn-lt"/>
              <a:ea typeface="+mn-ea"/>
              <a:cs typeface="+mn-cs"/>
            </a:rPr>
            <a:t>ключи </a:t>
          </a:r>
          <a:r>
            <a:rPr lang="en-US" sz="1100">
              <a:solidFill>
                <a:schemeClr val="dk1"/>
              </a:solidFill>
              <a:effectLst/>
              <a:latin typeface="+mn-lt"/>
              <a:ea typeface="+mn-ea"/>
              <a:cs typeface="+mn-cs"/>
            </a:rPr>
            <a:t>Guardant ID 2.0</a:t>
          </a:r>
          <a:endParaRPr lang="ru-RU" sz="1100">
            <a:solidFill>
              <a:schemeClr val="dk1"/>
            </a:solidFill>
            <a:effectLst/>
            <a:latin typeface="+mn-lt"/>
            <a:ea typeface="+mn-ea"/>
            <a:cs typeface="+mn-cs"/>
          </a:endParaRPr>
        </a:p>
        <a:p>
          <a:pPr marL="0" lvl="0" indent="0" eaLnBrk="1" fontAlgn="auto" latinLnBrk="0" hangingPunct="1">
            <a:buFont typeface="Courier New" panose="02070309020205020404" pitchFamily="49" charset="0"/>
            <a:buNone/>
          </a:pPr>
          <a:endParaRPr lang="ru-RU" sz="1100">
            <a:solidFill>
              <a:schemeClr val="dk1"/>
            </a:solidFill>
            <a:effectLst/>
            <a:latin typeface="+mn-lt"/>
            <a:ea typeface="+mn-ea"/>
            <a:cs typeface="+mn-cs"/>
          </a:endParaRPr>
        </a:p>
      </xdr:txBody>
    </xdr:sp>
    <xdr:clientData/>
  </xdr:twoCellAnchor>
  <xdr:twoCellAnchor>
    <xdr:from>
      <xdr:col>0</xdr:col>
      <xdr:colOff>139130</xdr:colOff>
      <xdr:row>12</xdr:row>
      <xdr:rowOff>91546</xdr:rowOff>
    </xdr:from>
    <xdr:to>
      <xdr:col>17</xdr:col>
      <xdr:colOff>117724</xdr:colOff>
      <xdr:row>12</xdr:row>
      <xdr:rowOff>845477</xdr:rowOff>
    </xdr:to>
    <xdr:sp macro="" textlink="">
      <xdr:nvSpPr>
        <xdr:cNvPr id="15" name="TextBox 14">
          <a:extLst>
            <a:ext uri="{FF2B5EF4-FFF2-40B4-BE49-F238E27FC236}">
              <a16:creationId xmlns:a16="http://schemas.microsoft.com/office/drawing/2014/main" xmlns="" id="{00000000-0008-0000-0C00-00000F000000}"/>
            </a:ext>
          </a:extLst>
        </xdr:cNvPr>
        <xdr:cNvSpPr txBox="1"/>
      </xdr:nvSpPr>
      <xdr:spPr>
        <a:xfrm>
          <a:off x="139130" y="2377546"/>
          <a:ext cx="10341794" cy="96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a:solidFill>
                <a:schemeClr val="dk1"/>
              </a:solidFill>
              <a:effectLst/>
              <a:latin typeface="+mn-lt"/>
              <a:ea typeface="+mn-ea"/>
              <a:cs typeface="+mn-cs"/>
            </a:rPr>
            <a:t>Сертифицированная система защиты конфиденциальной информации накладного типа. Предназначена для автономных персональных компьютеров и компьютеров в составе локально-вычислительной сети, в том числе под управлением контроллера домена.</a:t>
          </a:r>
          <a:r>
            <a:rPr lang="ru-RU"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Представляет собой программный комплекс средств защиты информации в ОС семейства </a:t>
          </a:r>
          <a:r>
            <a:rPr lang="en-US" sz="1100" b="0" i="0">
              <a:solidFill>
                <a:schemeClr val="dk1"/>
              </a:solidFill>
              <a:effectLst/>
              <a:latin typeface="+mn-lt"/>
              <a:ea typeface="+mn-ea"/>
              <a:cs typeface="+mn-cs"/>
            </a:rPr>
            <a:t>Windows </a:t>
          </a:r>
          <a:r>
            <a:rPr lang="ru-RU" sz="1100" b="0" i="0">
              <a:solidFill>
                <a:schemeClr val="dk1"/>
              </a:solidFill>
              <a:effectLst/>
              <a:latin typeface="+mn-lt"/>
              <a:ea typeface="+mn-ea"/>
              <a:cs typeface="+mn-cs"/>
            </a:rPr>
            <a:t>с возможностью подключения аппаратных идентификаторов.</a:t>
          </a:r>
          <a:r>
            <a:rPr lang="ru-RU" sz="1100" b="1" i="0">
              <a:solidFill>
                <a:schemeClr val="dk1"/>
              </a:solidFill>
              <a:effectLst/>
              <a:latin typeface="+mn-lt"/>
              <a:ea typeface="+mn-ea"/>
              <a:cs typeface="+mn-cs"/>
            </a:rPr>
            <a:t>Сертификат ФСТЭК России  № 2720</a:t>
          </a:r>
          <a:r>
            <a:rPr lang="ru-RU" sz="1100" b="0" i="0">
              <a:solidFill>
                <a:schemeClr val="dk1"/>
              </a:solidFill>
              <a:effectLst/>
              <a:latin typeface="+mn-lt"/>
              <a:ea typeface="+mn-ea"/>
              <a:cs typeface="+mn-cs"/>
            </a:rPr>
            <a:t> от 25 сентября 2012 г.</a:t>
          </a:r>
        </a:p>
        <a:p>
          <a:endParaRPr lang="ru-RU">
            <a:effectLst/>
          </a:endParaRPr>
        </a:p>
      </xdr:txBody>
    </xdr:sp>
    <xdr:clientData/>
  </xdr:twoCellAnchor>
  <xdr:twoCellAnchor>
    <xdr:from>
      <xdr:col>0</xdr:col>
      <xdr:colOff>107128</xdr:colOff>
      <xdr:row>15</xdr:row>
      <xdr:rowOff>179627</xdr:rowOff>
    </xdr:from>
    <xdr:to>
      <xdr:col>17</xdr:col>
      <xdr:colOff>481852</xdr:colOff>
      <xdr:row>15</xdr:row>
      <xdr:rowOff>1400736</xdr:rowOff>
    </xdr:to>
    <xdr:sp macro="" textlink="">
      <xdr:nvSpPr>
        <xdr:cNvPr id="16" name="TextBox 15">
          <a:extLst>
            <a:ext uri="{FF2B5EF4-FFF2-40B4-BE49-F238E27FC236}">
              <a16:creationId xmlns:a16="http://schemas.microsoft.com/office/drawing/2014/main" xmlns="" id="{00000000-0008-0000-0C00-000010000000}"/>
            </a:ext>
          </a:extLst>
        </xdr:cNvPr>
        <xdr:cNvSpPr txBox="1"/>
      </xdr:nvSpPr>
      <xdr:spPr>
        <a:xfrm>
          <a:off x="107128" y="3037127"/>
          <a:ext cx="10737924" cy="114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a:solidFill>
                <a:schemeClr val="dk1"/>
              </a:solidFill>
              <a:effectLst/>
              <a:latin typeface="+mn-lt"/>
              <a:ea typeface="+mn-ea"/>
              <a:cs typeface="+mn-cs"/>
            </a:rPr>
            <a:t>Сертифицированная система накладного типа для защиты конфиденциальной информации и информации, содержащей сведения, составляющие </a:t>
          </a:r>
          <a:r>
            <a:rPr lang="ru-RU" sz="1100" b="1" i="0">
              <a:solidFill>
                <a:schemeClr val="dk1"/>
              </a:solidFill>
              <a:effectLst/>
              <a:latin typeface="+mn-lt"/>
              <a:ea typeface="+mn-ea"/>
              <a:cs typeface="+mn-cs"/>
            </a:rPr>
            <a:t>государственную тайну до уровня «совершенно секретно» включительно</a:t>
          </a:r>
          <a:r>
            <a:rPr lang="ru-RU" sz="1100" b="0" i="0">
              <a:solidFill>
                <a:schemeClr val="dk1"/>
              </a:solidFill>
              <a:effectLst/>
              <a:latin typeface="+mn-lt"/>
              <a:ea typeface="+mn-ea"/>
              <a:cs typeface="+mn-cs"/>
            </a:rPr>
            <a:t>. Предназначена для автономных персональных компьютеров и компьютеров в составе локально-вычислительной сети, в том числе под управлением контроллера домена.</a:t>
          </a:r>
        </a:p>
        <a:p>
          <a:r>
            <a:rPr lang="ru-RU" sz="1100" b="1" i="0">
              <a:solidFill>
                <a:schemeClr val="dk1"/>
              </a:solidFill>
              <a:effectLst/>
              <a:latin typeface="+mn-lt"/>
              <a:ea typeface="+mn-ea"/>
              <a:cs typeface="+mn-cs"/>
            </a:rPr>
            <a:t>Сертификат ФСТЭК России № 2945</a:t>
          </a:r>
          <a:r>
            <a:rPr lang="ru-RU" sz="1100" b="0" i="0">
              <a:solidFill>
                <a:schemeClr val="dk1"/>
              </a:solidFill>
              <a:effectLst/>
              <a:latin typeface="+mn-lt"/>
              <a:ea typeface="+mn-ea"/>
              <a:cs typeface="+mn-cs"/>
            </a:rPr>
            <a:t> от 16 августа 2013 г.</a:t>
          </a:r>
        </a:p>
        <a:p>
          <a:endParaRPr lang="ru-RU" sz="1100" b="0" i="0">
            <a:solidFill>
              <a:schemeClr val="dk1"/>
            </a:solidFill>
            <a:effectLst/>
            <a:latin typeface="+mn-lt"/>
            <a:ea typeface="+mn-ea"/>
            <a:cs typeface="+mn-cs"/>
          </a:endParaRPr>
        </a:p>
        <a:p>
          <a:r>
            <a:rPr lang="en-US" sz="1400" b="1" i="0" u="none" baseline="0">
              <a:solidFill>
                <a:schemeClr val="dk1"/>
              </a:solidFill>
              <a:effectLst/>
              <a:latin typeface="+mn-lt"/>
              <a:ea typeface="+mn-ea"/>
              <a:cs typeface="+mn-cs"/>
            </a:rPr>
            <a:t>Dallas Lock 8.0-</a:t>
          </a:r>
          <a:r>
            <a:rPr lang="ru-RU" sz="1400" b="1" i="0" u="none" baseline="0">
              <a:solidFill>
                <a:schemeClr val="dk1"/>
              </a:solidFill>
              <a:effectLst/>
              <a:latin typeface="+mn-lt"/>
              <a:ea typeface="+mn-ea"/>
              <a:cs typeface="+mn-cs"/>
            </a:rPr>
            <a:t>С выполняет такой же широкий спектр функциональных возможностей, что и </a:t>
          </a:r>
          <a:r>
            <a:rPr lang="en-US" sz="1400" b="1" i="0" u="none" baseline="0">
              <a:solidFill>
                <a:schemeClr val="dk1"/>
              </a:solidFill>
              <a:effectLst/>
              <a:latin typeface="+mn-lt"/>
              <a:ea typeface="+mn-ea"/>
              <a:cs typeface="+mn-cs"/>
            </a:rPr>
            <a:t>Dallas Lock 8.0-</a:t>
          </a:r>
          <a:r>
            <a:rPr lang="ru-RU" sz="1400" b="1" i="0" u="none" baseline="0">
              <a:solidFill>
                <a:schemeClr val="dk1"/>
              </a:solidFill>
              <a:effectLst/>
              <a:latin typeface="+mn-lt"/>
              <a:ea typeface="+mn-ea"/>
              <a:cs typeface="+mn-cs"/>
            </a:rPr>
            <a:t>К, однако есть и дополнительные функции защиты:</a:t>
          </a:r>
        </a:p>
      </xdr:txBody>
    </xdr:sp>
    <xdr:clientData/>
  </xdr:twoCellAnchor>
  <xdr:oneCellAnchor>
    <xdr:from>
      <xdr:col>15</xdr:col>
      <xdr:colOff>369002</xdr:colOff>
      <xdr:row>19</xdr:row>
      <xdr:rowOff>234914</xdr:rowOff>
    </xdr:from>
    <xdr:ext cx="185759" cy="185759"/>
    <xdr:pic>
      <xdr:nvPicPr>
        <xdr:cNvPr id="17" name="Рисунок 16">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513002" y="3806789"/>
          <a:ext cx="185759" cy="185759"/>
        </a:xfrm>
        <a:prstGeom prst="rect">
          <a:avLst/>
        </a:prstGeom>
      </xdr:spPr>
    </xdr:pic>
    <xdr:clientData/>
  </xdr:oneCellAnchor>
  <xdr:twoCellAnchor>
    <xdr:from>
      <xdr:col>15</xdr:col>
      <xdr:colOff>258536</xdr:colOff>
      <xdr:row>19</xdr:row>
      <xdr:rowOff>10737</xdr:rowOff>
    </xdr:from>
    <xdr:to>
      <xdr:col>16</xdr:col>
      <xdr:colOff>621446</xdr:colOff>
      <xdr:row>20</xdr:row>
      <xdr:rowOff>13606</xdr:rowOff>
    </xdr:to>
    <xdr:sp macro="" textlink="">
      <xdr:nvSpPr>
        <xdr:cNvPr id="18" name="Прямоугольник 17">
          <a:hlinkClick xmlns:r="http://schemas.openxmlformats.org/officeDocument/2006/relationships" r:id="rId8"/>
          <a:extLst>
            <a:ext uri="{FF2B5EF4-FFF2-40B4-BE49-F238E27FC236}">
              <a16:creationId xmlns:a16="http://schemas.microsoft.com/office/drawing/2014/main" xmlns="" id="{00000000-0008-0000-0C00-000012000000}"/>
            </a:ext>
          </a:extLst>
        </xdr:cNvPr>
        <xdr:cNvSpPr/>
      </xdr:nvSpPr>
      <xdr:spPr>
        <a:xfrm>
          <a:off x="9402536" y="3630237"/>
          <a:ext cx="962985" cy="1933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57151</xdr:colOff>
      <xdr:row>20</xdr:row>
      <xdr:rowOff>75807</xdr:rowOff>
    </xdr:from>
    <xdr:to>
      <xdr:col>16</xdr:col>
      <xdr:colOff>493059</xdr:colOff>
      <xdr:row>21</xdr:row>
      <xdr:rowOff>146538</xdr:rowOff>
    </xdr:to>
    <xdr:sp macro="" textlink="">
      <xdr:nvSpPr>
        <xdr:cNvPr id="19" name="TextBox 18">
          <a:extLst>
            <a:ext uri="{FF2B5EF4-FFF2-40B4-BE49-F238E27FC236}">
              <a16:creationId xmlns:a16="http://schemas.microsoft.com/office/drawing/2014/main" xmlns="" id="{00000000-0008-0000-0C00-000013000000}"/>
            </a:ext>
          </a:extLst>
        </xdr:cNvPr>
        <xdr:cNvSpPr txBox="1"/>
      </xdr:nvSpPr>
      <xdr:spPr>
        <a:xfrm>
          <a:off x="57151" y="3885807"/>
          <a:ext cx="10189508" cy="2612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baseline="0">
              <a:solidFill>
                <a:schemeClr val="dk1"/>
              </a:solidFill>
              <a:effectLst/>
              <a:latin typeface="+mn-lt"/>
              <a:ea typeface="+mn-ea"/>
              <a:cs typeface="+mn-cs"/>
            </a:rPr>
            <a:t>Единый центр управления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(ЕЦУ)</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кроссплатформенный центр управления, контролирующий безопасность всей ИТ-инфраструктуры </a:t>
          </a:r>
        </a:p>
        <a:p>
          <a:r>
            <a:rPr lang="ru-RU" sz="1100" b="0" i="0" baseline="0">
              <a:solidFill>
                <a:schemeClr val="dk1"/>
              </a:solidFill>
              <a:effectLst/>
              <a:latin typeface="+mn-lt"/>
              <a:ea typeface="+mn-ea"/>
              <a:cs typeface="+mn-cs"/>
            </a:rPr>
            <a:t>организации вне зависимости от её структуры и масштабов. Предназначен для решения гораздо более широкого круга задач по сравнению с хорошо зарекомендовавшим себя Сервером безопасности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ru-RU" sz="1100">
              <a:solidFill>
                <a:schemeClr val="dk1"/>
              </a:solidFill>
              <a:effectLst/>
              <a:latin typeface="+mn-lt"/>
              <a:ea typeface="+mn-ea"/>
              <a:cs typeface="+mn-cs"/>
            </a:rPr>
            <a:t>ЕЦУ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рекомендуется для небольших инфраструктур, а при более чем 100 защищаемых объектах его использование обязательно. Система поддерживает создание отказоустойчивых кластеров и управление сложными инфраструктурами с количеством объектов свыше 50 000 шт</a:t>
          </a:r>
          <a:r>
            <a:rPr lang="ru-RU" sz="1100" b="0" i="0" baseline="0">
              <a:solidFill>
                <a:schemeClr val="dk1"/>
              </a:solidFill>
              <a:effectLst/>
              <a:latin typeface="+mn-lt"/>
              <a:ea typeface="+mn-ea"/>
              <a:cs typeface="+mn-cs"/>
            </a:rPr>
            <a:t>. Входит в состав сертифицированных продуктов линейки.</a:t>
          </a:r>
          <a:endParaRPr lang="ru-RU">
            <a:effectLst/>
          </a:endParaRPr>
        </a:p>
        <a:p>
          <a:endParaRPr lang="ru-RU">
            <a:effectLst/>
          </a:endParaRPr>
        </a:p>
        <a:p>
          <a:pPr eaLnBrk="1" fontAlgn="auto" latinLnBrk="0" hangingPunct="1"/>
          <a:endParaRPr lang="ru-RU">
            <a:effectLst/>
          </a:endParaRPr>
        </a:p>
      </xdr:txBody>
    </xdr:sp>
    <xdr:clientData/>
  </xdr:twoCellAnchor>
  <xdr:twoCellAnchor>
    <xdr:from>
      <xdr:col>1</xdr:col>
      <xdr:colOff>6351</xdr:colOff>
      <xdr:row>53</xdr:row>
      <xdr:rowOff>0</xdr:rowOff>
    </xdr:from>
    <xdr:to>
      <xdr:col>16</xdr:col>
      <xdr:colOff>601009</xdr:colOff>
      <xdr:row>58</xdr:row>
      <xdr:rowOff>54427</xdr:rowOff>
    </xdr:to>
    <xdr:sp macro="" textlink="">
      <xdr:nvSpPr>
        <xdr:cNvPr id="20" name="TextBox 19">
          <a:extLst>
            <a:ext uri="{FF2B5EF4-FFF2-40B4-BE49-F238E27FC236}">
              <a16:creationId xmlns:a16="http://schemas.microsoft.com/office/drawing/2014/main" xmlns="" id="{00000000-0008-0000-0C00-000014000000}"/>
            </a:ext>
          </a:extLst>
        </xdr:cNvPr>
        <xdr:cNvSpPr txBox="1"/>
      </xdr:nvSpPr>
      <xdr:spPr>
        <a:xfrm>
          <a:off x="615951" y="10096500"/>
          <a:ext cx="9738658" cy="10069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0"/>
            <a:t>WAF Dallas Lock </a:t>
          </a:r>
          <a:r>
            <a:rPr lang="en-US"/>
            <a:t>— </a:t>
          </a:r>
          <a:r>
            <a:rPr lang="ru-RU"/>
            <a:t>межсетевой экран прикладного уровня, предназначенный для защиты веб-серверов, обслуживающих сайты, </a:t>
          </a:r>
        </a:p>
        <a:p>
          <a:r>
            <a:rPr lang="ru-RU"/>
            <a:t>веб-службы и веб-приложения, от сетевых атак и нежелательного интернет-трафика. </a:t>
          </a:r>
          <a:r>
            <a:rPr lang="ru-RU" sz="1100" b="1" i="0">
              <a:solidFill>
                <a:schemeClr val="dk1"/>
              </a:solidFill>
              <a:effectLst/>
              <a:latin typeface="+mn-lt"/>
              <a:ea typeface="+mn-ea"/>
              <a:cs typeface="+mn-cs"/>
            </a:rPr>
            <a:t>Сертификат ФСТЭК России № 4863</a:t>
          </a:r>
          <a:r>
            <a:rPr lang="ru-RU" sz="1100" b="0" i="0">
              <a:solidFill>
                <a:schemeClr val="dk1"/>
              </a:solidFill>
              <a:effectLst/>
              <a:latin typeface="+mn-lt"/>
              <a:ea typeface="+mn-ea"/>
              <a:cs typeface="+mn-cs"/>
            </a:rPr>
            <a:t> от 8 октября 2024 года.</a:t>
          </a:r>
          <a:r>
            <a:rPr lang="ru-RU"/>
            <a:t/>
          </a:r>
          <a:br>
            <a:rPr lang="ru-RU"/>
          </a:br>
          <a:r>
            <a:rPr lang="ru-RU"/>
            <a:t/>
          </a:r>
          <a:br>
            <a:rPr lang="ru-RU"/>
          </a:br>
          <a:r>
            <a:rPr lang="ru-RU" sz="1100" b="1">
              <a:solidFill>
                <a:schemeClr val="dk1"/>
              </a:solidFill>
              <a:effectLst/>
              <a:latin typeface="+mn-lt"/>
              <a:ea typeface="+mn-ea"/>
              <a:cs typeface="+mn-cs"/>
            </a:rPr>
            <a:t>WAF Dallas Lock включает в себя два функциональных модуля:</a:t>
          </a:r>
          <a:endParaRPr lang="en-US" b="1"/>
        </a:p>
        <a:p>
          <a:endParaRPr lang="en-US">
            <a:effectLst/>
          </a:endParaRPr>
        </a:p>
        <a:p>
          <a:endParaRPr lang="ru-RU">
            <a:effectLst/>
          </a:endParaRPr>
        </a:p>
      </xdr:txBody>
    </xdr:sp>
    <xdr:clientData/>
  </xdr:twoCellAnchor>
  <xdr:oneCellAnchor>
    <xdr:from>
      <xdr:col>15</xdr:col>
      <xdr:colOff>403646</xdr:colOff>
      <xdr:row>51</xdr:row>
      <xdr:rowOff>187240</xdr:rowOff>
    </xdr:from>
    <xdr:ext cx="185759" cy="185759"/>
    <xdr:pic>
      <xdr:nvPicPr>
        <xdr:cNvPr id="21" name="Рисунок 20">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547646" y="9902740"/>
          <a:ext cx="185759" cy="185759"/>
        </a:xfrm>
        <a:prstGeom prst="rect">
          <a:avLst/>
        </a:prstGeom>
      </xdr:spPr>
    </xdr:pic>
    <xdr:clientData/>
  </xdr:oneCellAnchor>
  <xdr:oneCellAnchor>
    <xdr:from>
      <xdr:col>1</xdr:col>
      <xdr:colOff>0</xdr:colOff>
      <xdr:row>4</xdr:row>
      <xdr:rowOff>0</xdr:rowOff>
    </xdr:from>
    <xdr:ext cx="304800" cy="309289"/>
    <xdr:sp macro="" textlink="">
      <xdr:nvSpPr>
        <xdr:cNvPr id="22" name="AutoShape 2" descr="https://dallaslock.ru/images/szvi-dallas-lock/russian-virtualization-platforms.svg">
          <a:extLst>
            <a:ext uri="{FF2B5EF4-FFF2-40B4-BE49-F238E27FC236}">
              <a16:creationId xmlns:a16="http://schemas.microsoft.com/office/drawing/2014/main" xmlns="" id="{00000000-0008-0000-0C00-000016000000}"/>
            </a:ext>
          </a:extLst>
        </xdr:cNvPr>
        <xdr:cNvSpPr>
          <a:spLocks noChangeAspect="1" noChangeArrowheads="1"/>
        </xdr:cNvSpPr>
      </xdr:nvSpPr>
      <xdr:spPr bwMode="auto">
        <a:xfrm>
          <a:off x="609600" y="762000"/>
          <a:ext cx="304800" cy="3092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xdr:row>
      <xdr:rowOff>0</xdr:rowOff>
    </xdr:from>
    <xdr:ext cx="304800" cy="309289"/>
    <xdr:sp macro="" textlink="">
      <xdr:nvSpPr>
        <xdr:cNvPr id="23" name="AutoShape 3" descr="https://dallaslock.ru/images/szvi-dallas-lock/russian-virtualization-platforms.svg">
          <a:extLst>
            <a:ext uri="{FF2B5EF4-FFF2-40B4-BE49-F238E27FC236}">
              <a16:creationId xmlns:a16="http://schemas.microsoft.com/office/drawing/2014/main" xmlns="" id="{00000000-0008-0000-0C00-000017000000}"/>
            </a:ext>
          </a:extLst>
        </xdr:cNvPr>
        <xdr:cNvSpPr>
          <a:spLocks noChangeAspect="1" noChangeArrowheads="1"/>
        </xdr:cNvSpPr>
      </xdr:nvSpPr>
      <xdr:spPr bwMode="auto">
        <a:xfrm>
          <a:off x="609600" y="762000"/>
          <a:ext cx="304800" cy="3092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20598</xdr:colOff>
      <xdr:row>1</xdr:row>
      <xdr:rowOff>708951</xdr:rowOff>
    </xdr:from>
    <xdr:ext cx="1628774" cy="501027"/>
    <xdr:pic>
      <xdr:nvPicPr>
        <xdr:cNvPr id="24" name="Рисунок 23">
          <a:extLst>
            <a:ext uri="{FF2B5EF4-FFF2-40B4-BE49-F238E27FC236}">
              <a16:creationId xmlns:a16="http://schemas.microsoft.com/office/drawing/2014/main" xmlns="" id="{00000000-0008-0000-0C00-000018000000}"/>
            </a:ext>
          </a:extLst>
        </xdr:cNvPr>
        <xdr:cNvPicPr>
          <a:picLocks noChangeAspect="1"/>
        </xdr:cNvPicPr>
      </xdr:nvPicPr>
      <xdr:blipFill>
        <a:blip xmlns:r="http://schemas.openxmlformats.org/officeDocument/2006/relationships" r:embed="rId9"/>
        <a:stretch>
          <a:fillRect/>
        </a:stretch>
      </xdr:blipFill>
      <xdr:spPr>
        <a:xfrm>
          <a:off x="630198" y="385101"/>
          <a:ext cx="1628774" cy="501027"/>
        </a:xfrm>
        <a:prstGeom prst="rect">
          <a:avLst/>
        </a:prstGeom>
      </xdr:spPr>
    </xdr:pic>
    <xdr:clientData/>
  </xdr:oneCellAnchor>
  <xdr:oneCellAnchor>
    <xdr:from>
      <xdr:col>4</xdr:col>
      <xdr:colOff>164775</xdr:colOff>
      <xdr:row>1</xdr:row>
      <xdr:rowOff>652369</xdr:rowOff>
    </xdr:from>
    <xdr:ext cx="1681388" cy="465020"/>
    <xdr:pic>
      <xdr:nvPicPr>
        <xdr:cNvPr id="25" name="Рисунок 24">
          <a:extLst>
            <a:ext uri="{FF2B5EF4-FFF2-40B4-BE49-F238E27FC236}">
              <a16:creationId xmlns:a16="http://schemas.microsoft.com/office/drawing/2014/main" xmlns="" id="{00000000-0008-0000-0C00-000019000000}"/>
            </a:ext>
          </a:extLst>
        </xdr:cNvPr>
        <xdr:cNvPicPr>
          <a:picLocks noChangeAspect="1"/>
        </xdr:cNvPicPr>
      </xdr:nvPicPr>
      <xdr:blipFill>
        <a:blip xmlns:r="http://schemas.openxmlformats.org/officeDocument/2006/relationships" r:embed="rId10"/>
        <a:stretch>
          <a:fillRect/>
        </a:stretch>
      </xdr:blipFill>
      <xdr:spPr>
        <a:xfrm>
          <a:off x="2603175" y="385669"/>
          <a:ext cx="1681388" cy="465020"/>
        </a:xfrm>
        <a:prstGeom prst="rect">
          <a:avLst/>
        </a:prstGeom>
      </xdr:spPr>
    </xdr:pic>
    <xdr:clientData/>
  </xdr:oneCellAnchor>
  <xdr:twoCellAnchor>
    <xdr:from>
      <xdr:col>0</xdr:col>
      <xdr:colOff>97490</xdr:colOff>
      <xdr:row>1</xdr:row>
      <xdr:rowOff>38101</xdr:rowOff>
    </xdr:from>
    <xdr:to>
      <xdr:col>16</xdr:col>
      <xdr:colOff>190500</xdr:colOff>
      <xdr:row>1</xdr:row>
      <xdr:rowOff>512884</xdr:rowOff>
    </xdr:to>
    <xdr:sp macro="" textlink="">
      <xdr:nvSpPr>
        <xdr:cNvPr id="26" name="TextBox 25">
          <a:extLst>
            <a:ext uri="{FF2B5EF4-FFF2-40B4-BE49-F238E27FC236}">
              <a16:creationId xmlns:a16="http://schemas.microsoft.com/office/drawing/2014/main" xmlns="" id="{00000000-0008-0000-0C00-00001A000000}"/>
            </a:ext>
          </a:extLst>
        </xdr:cNvPr>
        <xdr:cNvSpPr txBox="1"/>
      </xdr:nvSpPr>
      <xdr:spPr>
        <a:xfrm>
          <a:off x="97490" y="228601"/>
          <a:ext cx="9846610" cy="150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0" i="0" baseline="0">
              <a:solidFill>
                <a:schemeClr val="dk1"/>
              </a:solidFill>
              <a:effectLst/>
              <a:latin typeface="+mn-lt"/>
              <a:ea typeface="+mn-ea"/>
              <a:cs typeface="+mn-cs"/>
            </a:rPr>
            <a:t>Сертифицированная с</a:t>
          </a:r>
          <a:r>
            <a:rPr lang="ru-RU" sz="1100" b="0" i="0">
              <a:solidFill>
                <a:schemeClr val="dk1"/>
              </a:solidFill>
              <a:effectLst/>
              <a:latin typeface="+mn-lt"/>
              <a:ea typeface="+mn-ea"/>
              <a:cs typeface="+mn-cs"/>
            </a:rPr>
            <a:t>истема защиты информации в виртуальных инфраструктурах</a:t>
          </a:r>
          <a:r>
            <a:rPr lang="en-US" sz="1100" b="0" i="0" baseline="0">
              <a:solidFill>
                <a:schemeClr val="dk1"/>
              </a:solidFill>
              <a:effectLst/>
              <a:latin typeface="+mn-lt"/>
              <a:ea typeface="+mn-ea"/>
              <a:cs typeface="+mn-cs"/>
            </a:rPr>
            <a:t> Dallas Lock</a:t>
          </a:r>
          <a:r>
            <a:rPr lang="ru-RU" sz="1100" b="0" i="0">
              <a:solidFill>
                <a:schemeClr val="dk1"/>
              </a:solidFill>
              <a:effectLst/>
              <a:latin typeface="+mn-lt"/>
              <a:ea typeface="+mn-ea"/>
              <a:cs typeface="+mn-cs"/>
            </a:rPr>
            <a:t>, предназначена для защиты среды виртуализации на базе технологий </a:t>
          </a:r>
          <a:r>
            <a:rPr lang="en-US" sz="1100" b="0" i="0">
              <a:solidFill>
                <a:schemeClr val="dk1"/>
              </a:solidFill>
              <a:effectLst/>
              <a:latin typeface="+mn-lt"/>
              <a:ea typeface="+mn-ea"/>
              <a:cs typeface="+mn-cs"/>
            </a:rPr>
            <a:t>VMware vSphere, </a:t>
          </a:r>
          <a:r>
            <a:rPr lang="ru-RU" sz="1100" b="0" i="0">
              <a:solidFill>
                <a:schemeClr val="dk1"/>
              </a:solidFill>
              <a:effectLst/>
              <a:latin typeface="+mn-lt"/>
              <a:ea typeface="+mn-ea"/>
              <a:cs typeface="+mn-cs"/>
            </a:rPr>
            <a:t>систем управления виртуализацией на базе </a:t>
          </a:r>
          <a:r>
            <a:rPr lang="en-US" sz="1100" b="0" i="0">
              <a:solidFill>
                <a:schemeClr val="dk1"/>
              </a:solidFill>
              <a:effectLst/>
              <a:latin typeface="+mn-lt"/>
              <a:ea typeface="+mn-ea"/>
              <a:cs typeface="+mn-cs"/>
            </a:rPr>
            <a:t>oVirt (zVirt, </a:t>
          </a:r>
          <a:r>
            <a:rPr lang="ru-RU" sz="1100" b="0" i="0">
              <a:solidFill>
                <a:schemeClr val="dk1"/>
              </a:solidFill>
              <a:effectLst/>
              <a:latin typeface="+mn-lt"/>
              <a:ea typeface="+mn-ea"/>
              <a:cs typeface="+mn-cs"/>
            </a:rPr>
            <a:t>РЕД Виртуализация , </a:t>
          </a:r>
          <a:r>
            <a:rPr lang="en-US" sz="1100" b="0" i="0">
              <a:solidFill>
                <a:schemeClr val="dk1"/>
              </a:solidFill>
              <a:effectLst/>
              <a:latin typeface="+mn-lt"/>
              <a:ea typeface="+mn-ea"/>
              <a:cs typeface="+mn-cs"/>
            </a:rPr>
            <a:t>HOSTVM) </a:t>
          </a:r>
          <a:r>
            <a:rPr lang="ru-RU" sz="1100" b="0" i="0">
              <a:solidFill>
                <a:schemeClr val="dk1"/>
              </a:solidFill>
              <a:effectLst/>
              <a:latin typeface="+mn-lt"/>
              <a:ea typeface="+mn-ea"/>
              <a:cs typeface="+mn-cs"/>
            </a:rPr>
            <a:t>и гипервизоров </a:t>
          </a:r>
          <a:r>
            <a:rPr lang="en-US" sz="1100" b="0" i="0">
              <a:solidFill>
                <a:schemeClr val="dk1"/>
              </a:solidFill>
              <a:effectLst/>
              <a:latin typeface="+mn-lt"/>
              <a:ea typeface="+mn-ea"/>
              <a:cs typeface="+mn-cs"/>
            </a:rPr>
            <a:t>KVM.</a:t>
          </a:r>
          <a:r>
            <a:rPr lang="ru-RU" sz="1100" b="0" i="0">
              <a:solidFill>
                <a:schemeClr val="dk1"/>
              </a:solidFill>
              <a:effectLst/>
              <a:latin typeface="+mn-lt"/>
              <a:ea typeface="+mn-ea"/>
              <a:cs typeface="+mn-cs"/>
            </a:rPr>
            <a:t> </a:t>
          </a:r>
          <a:r>
            <a:rPr lang="ru-RU" sz="1100" b="1" i="0">
              <a:solidFill>
                <a:schemeClr val="dk1"/>
              </a:solidFill>
              <a:effectLst/>
              <a:latin typeface="+mn-lt"/>
              <a:ea typeface="+mn-ea"/>
              <a:cs typeface="+mn-cs"/>
            </a:rPr>
            <a:t>Сертификат ФСТЭК России № 3837</a:t>
          </a:r>
          <a:r>
            <a:rPr lang="ru-RU" sz="1100" b="0" i="0">
              <a:solidFill>
                <a:schemeClr val="dk1"/>
              </a:solidFill>
              <a:effectLst/>
              <a:latin typeface="+mn-lt"/>
              <a:ea typeface="+mn-ea"/>
              <a:cs typeface="+mn-cs"/>
            </a:rPr>
            <a:t> от 18</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декабря</a:t>
          </a:r>
          <a:r>
            <a:rPr lang="ru-RU" sz="1100" b="0" i="0">
              <a:solidFill>
                <a:schemeClr val="dk1"/>
              </a:solidFill>
              <a:effectLst/>
              <a:latin typeface="+mn-lt"/>
              <a:ea typeface="+mn-ea"/>
              <a:cs typeface="+mn-cs"/>
            </a:rPr>
            <a:t> 2017 г.</a:t>
          </a:r>
          <a:endParaRPr lang="ru-RU" sz="1100" b="0" i="0" u="none" strike="noStrike" baseline="0">
            <a:solidFill>
              <a:schemeClr val="dk1"/>
            </a:solidFill>
            <a:effectLst/>
            <a:latin typeface="+mn-lt"/>
            <a:ea typeface="+mn-ea"/>
            <a:cs typeface="+mn-cs"/>
          </a:endParaRPr>
        </a:p>
        <a:p>
          <a:pPr algn="just"/>
          <a:endParaRPr lang="ru-RU"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1</xdr:col>
      <xdr:colOff>9525</xdr:colOff>
      <xdr:row>0</xdr:row>
      <xdr:rowOff>0</xdr:rowOff>
    </xdr:from>
    <xdr:to>
      <xdr:col>1</xdr:col>
      <xdr:colOff>409575</xdr:colOff>
      <xdr:row>0</xdr:row>
      <xdr:rowOff>504825</xdr:rowOff>
    </xdr:to>
    <xdr:grpSp>
      <xdr:nvGrpSpPr>
        <xdr:cNvPr id="27" name="Группа 26">
          <a:extLst>
            <a:ext uri="{FF2B5EF4-FFF2-40B4-BE49-F238E27FC236}">
              <a16:creationId xmlns:a16="http://schemas.microsoft.com/office/drawing/2014/main" xmlns="" id="{00000000-0008-0000-0C00-00001B000000}"/>
            </a:ext>
          </a:extLst>
        </xdr:cNvPr>
        <xdr:cNvGrpSpPr/>
      </xdr:nvGrpSpPr>
      <xdr:grpSpPr>
        <a:xfrm>
          <a:off x="186418" y="0"/>
          <a:ext cx="400050" cy="504825"/>
          <a:chOff x="1493451" y="1609581"/>
          <a:chExt cx="655273" cy="783758"/>
        </a:xfrm>
      </xdr:grpSpPr>
      <xdr:sp macro="" textlink="">
        <xdr:nvSpPr>
          <xdr:cNvPr id="28" name="Прямоугольник 27">
            <a:extLst>
              <a:ext uri="{FF2B5EF4-FFF2-40B4-BE49-F238E27FC236}">
                <a16:creationId xmlns:a16="http://schemas.microsoft.com/office/drawing/2014/main" xmlns="" id="{00000000-0008-0000-0C00-00001C000000}"/>
              </a:ext>
            </a:extLst>
          </xdr:cNvPr>
          <xdr:cNvSpPr/>
        </xdr:nvSpPr>
        <xdr:spPr>
          <a:xfrm>
            <a:off x="1574297" y="1706935"/>
            <a:ext cx="494199" cy="459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ru-RU"/>
            </a:defPPr>
            <a:lvl1pPr marL="0" algn="l" defTabSz="1727699" rtl="0" eaLnBrk="1" latinLnBrk="0" hangingPunct="1">
              <a:defRPr sz="3400" kern="1200">
                <a:solidFill>
                  <a:schemeClr val="lt1"/>
                </a:solidFill>
                <a:latin typeface="+mn-lt"/>
                <a:ea typeface="+mn-ea"/>
                <a:cs typeface="+mn-cs"/>
              </a:defRPr>
            </a:lvl1pPr>
            <a:lvl2pPr marL="863849" algn="l" defTabSz="1727699" rtl="0" eaLnBrk="1" latinLnBrk="0" hangingPunct="1">
              <a:defRPr sz="3400" kern="1200">
                <a:solidFill>
                  <a:schemeClr val="lt1"/>
                </a:solidFill>
                <a:latin typeface="+mn-lt"/>
                <a:ea typeface="+mn-ea"/>
                <a:cs typeface="+mn-cs"/>
              </a:defRPr>
            </a:lvl2pPr>
            <a:lvl3pPr marL="1727699" algn="l" defTabSz="1727699" rtl="0" eaLnBrk="1" latinLnBrk="0" hangingPunct="1">
              <a:defRPr sz="3400" kern="1200">
                <a:solidFill>
                  <a:schemeClr val="lt1"/>
                </a:solidFill>
                <a:latin typeface="+mn-lt"/>
                <a:ea typeface="+mn-ea"/>
                <a:cs typeface="+mn-cs"/>
              </a:defRPr>
            </a:lvl3pPr>
            <a:lvl4pPr marL="2591548" algn="l" defTabSz="1727699" rtl="0" eaLnBrk="1" latinLnBrk="0" hangingPunct="1">
              <a:defRPr sz="3400" kern="1200">
                <a:solidFill>
                  <a:schemeClr val="lt1"/>
                </a:solidFill>
                <a:latin typeface="+mn-lt"/>
                <a:ea typeface="+mn-ea"/>
                <a:cs typeface="+mn-cs"/>
              </a:defRPr>
            </a:lvl4pPr>
            <a:lvl5pPr marL="3455397" algn="l" defTabSz="1727699" rtl="0" eaLnBrk="1" latinLnBrk="0" hangingPunct="1">
              <a:defRPr sz="3400" kern="1200">
                <a:solidFill>
                  <a:schemeClr val="lt1"/>
                </a:solidFill>
                <a:latin typeface="+mn-lt"/>
                <a:ea typeface="+mn-ea"/>
                <a:cs typeface="+mn-cs"/>
              </a:defRPr>
            </a:lvl5pPr>
            <a:lvl6pPr marL="4319249" algn="l" defTabSz="1727699" rtl="0" eaLnBrk="1" latinLnBrk="0" hangingPunct="1">
              <a:defRPr sz="3400" kern="1200">
                <a:solidFill>
                  <a:schemeClr val="lt1"/>
                </a:solidFill>
                <a:latin typeface="+mn-lt"/>
                <a:ea typeface="+mn-ea"/>
                <a:cs typeface="+mn-cs"/>
              </a:defRPr>
            </a:lvl6pPr>
            <a:lvl7pPr marL="5183098" algn="l" defTabSz="1727699" rtl="0" eaLnBrk="1" latinLnBrk="0" hangingPunct="1">
              <a:defRPr sz="3400" kern="1200">
                <a:solidFill>
                  <a:schemeClr val="lt1"/>
                </a:solidFill>
                <a:latin typeface="+mn-lt"/>
                <a:ea typeface="+mn-ea"/>
                <a:cs typeface="+mn-cs"/>
              </a:defRPr>
            </a:lvl7pPr>
            <a:lvl8pPr marL="6046950" algn="l" defTabSz="1727699" rtl="0" eaLnBrk="1" latinLnBrk="0" hangingPunct="1">
              <a:defRPr sz="3400" kern="1200">
                <a:solidFill>
                  <a:schemeClr val="lt1"/>
                </a:solidFill>
                <a:latin typeface="+mn-lt"/>
                <a:ea typeface="+mn-ea"/>
                <a:cs typeface="+mn-cs"/>
              </a:defRPr>
            </a:lvl8pPr>
            <a:lvl9pPr marL="6910799" algn="l" defTabSz="1727699" rtl="0" eaLnBrk="1" latinLnBrk="0" hangingPunct="1">
              <a:defRPr sz="3400" kern="1200">
                <a:solidFill>
                  <a:schemeClr val="lt1"/>
                </a:solidFill>
                <a:latin typeface="+mn-lt"/>
                <a:ea typeface="+mn-ea"/>
                <a:cs typeface="+mn-cs"/>
              </a:defRPr>
            </a:lvl9pPr>
          </a:lstStyle>
          <a:p>
            <a:pPr algn="ctr"/>
            <a:endParaRPr lang="ru-RU"/>
          </a:p>
        </xdr:txBody>
      </xdr:sp>
      <xdr:pic>
        <xdr:nvPicPr>
          <xdr:cNvPr id="29" name="Picture 2">
            <a:extLst>
              <a:ext uri="{FF2B5EF4-FFF2-40B4-BE49-F238E27FC236}">
                <a16:creationId xmlns:a16="http://schemas.microsoft.com/office/drawing/2014/main" xmlns="" id="{00000000-0008-0000-0C00-00001D00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1493451" y="1609581"/>
            <a:ext cx="655273" cy="78375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grpSp>
    <xdr:clientData/>
  </xdr:twoCellAnchor>
  <xdr:oneCellAnchor>
    <xdr:from>
      <xdr:col>1</xdr:col>
      <xdr:colOff>9526</xdr:colOff>
      <xdr:row>5</xdr:row>
      <xdr:rowOff>0</xdr:rowOff>
    </xdr:from>
    <xdr:ext cx="427346" cy="528624"/>
    <xdr:pic>
      <xdr:nvPicPr>
        <xdr:cNvPr id="30" name="Picture 4">
          <a:extLst>
            <a:ext uri="{FF2B5EF4-FFF2-40B4-BE49-F238E27FC236}">
              <a16:creationId xmlns:a16="http://schemas.microsoft.com/office/drawing/2014/main" xmlns="" id="{00000000-0008-0000-0C00-00001E000000}"/>
            </a:ext>
          </a:extLst>
        </xdr:cNvPr>
        <xdr:cNvPicPr>
          <a:picLocks noChangeAspect="1" noChangeArrowheads="1"/>
        </xdr:cNvPicPr>
      </xdr:nvPicPr>
      <xdr:blipFill>
        <a:blip xmlns:r="http://schemas.openxmlformats.org/officeDocument/2006/relationships" r:embed="rId12">
          <a:extLst>
            <a:ext uri="{BEBA8EAE-BF5A-486C-A8C5-ECC9F3942E4B}">
              <a14:imgProps xmlns:a14="http://schemas.microsoft.com/office/drawing/2010/main">
                <a14:imgLayer r:embed="rId13">
                  <a14:imgEffect>
                    <a14:backgroundRemoval t="9677" b="92742" l="9804" r="89216">
                      <a14:foregroundMark x1="45098" y1="14516" x2="79412" y2="27419"/>
                      <a14:foregroundMark x1="79412" y1="27419" x2="82353" y2="58871"/>
                      <a14:foregroundMark x1="50980" y1="85484" x2="51961" y2="92742"/>
                    </a14:backgroundRemoval>
                  </a14:imgEffect>
                </a14:imgLayer>
              </a14:imgProps>
            </a:ext>
            <a:ext uri="{28A0092B-C50C-407E-A947-70E740481C1C}">
              <a14:useLocalDpi xmlns:a14="http://schemas.microsoft.com/office/drawing/2010/main"/>
            </a:ext>
          </a:extLst>
        </a:blip>
        <a:srcRect/>
        <a:stretch>
          <a:fillRect/>
        </a:stretch>
      </xdr:blipFill>
      <xdr:spPr bwMode="auto">
        <a:xfrm>
          <a:off x="619126" y="952500"/>
          <a:ext cx="427346" cy="52862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8</xdr:col>
      <xdr:colOff>495300</xdr:colOff>
      <xdr:row>6</xdr:row>
      <xdr:rowOff>854303</xdr:rowOff>
    </xdr:from>
    <xdr:ext cx="996043" cy="990600"/>
    <xdr:pic>
      <xdr:nvPicPr>
        <xdr:cNvPr id="31" name="Рисунок 30">
          <a:extLst>
            <a:ext uri="{FF2B5EF4-FFF2-40B4-BE49-F238E27FC236}">
              <a16:creationId xmlns:a16="http://schemas.microsoft.com/office/drawing/2014/main" xmlns="" id="{00000000-0008-0000-0C00-00001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372100" y="1330553"/>
          <a:ext cx="996043" cy="990600"/>
        </a:xfrm>
        <a:prstGeom prst="rect">
          <a:avLst/>
        </a:prstGeom>
      </xdr:spPr>
    </xdr:pic>
    <xdr:clientData/>
  </xdr:oneCellAnchor>
  <xdr:oneCellAnchor>
    <xdr:from>
      <xdr:col>1</xdr:col>
      <xdr:colOff>85726</xdr:colOff>
      <xdr:row>6</xdr:row>
      <xdr:rowOff>742950</xdr:rowOff>
    </xdr:from>
    <xdr:ext cx="1620360" cy="1152474"/>
    <xdr:pic>
      <xdr:nvPicPr>
        <xdr:cNvPr id="32" name="Picture 2" descr="C:\Users\osv\AppData\Local\Microsoft\Windows\Temporary Internet Files\Content.Outlook\R07RQ4FK\АМДЗ.jpg">
          <a:extLst>
            <a:ext uri="{FF2B5EF4-FFF2-40B4-BE49-F238E27FC236}">
              <a16:creationId xmlns:a16="http://schemas.microsoft.com/office/drawing/2014/main" xmlns="" id="{00000000-0008-0000-0C00-000020000000}"/>
            </a:ext>
          </a:extLst>
        </xdr:cNvPr>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695326" y="1333500"/>
          <a:ext cx="1620360" cy="11524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66675</xdr:colOff>
      <xdr:row>6</xdr:row>
      <xdr:rowOff>66676</xdr:rowOff>
    </xdr:from>
    <xdr:to>
      <xdr:col>12</xdr:col>
      <xdr:colOff>180975</xdr:colOff>
      <xdr:row>6</xdr:row>
      <xdr:rowOff>923926</xdr:rowOff>
    </xdr:to>
    <xdr:sp macro="" textlink="">
      <xdr:nvSpPr>
        <xdr:cNvPr id="33" name="TextBox 32">
          <a:extLst>
            <a:ext uri="{FF2B5EF4-FFF2-40B4-BE49-F238E27FC236}">
              <a16:creationId xmlns:a16="http://schemas.microsoft.com/office/drawing/2014/main" xmlns="" id="{00000000-0008-0000-0C00-000021000000}"/>
            </a:ext>
          </a:extLst>
        </xdr:cNvPr>
        <xdr:cNvSpPr txBox="1"/>
      </xdr:nvSpPr>
      <xdr:spPr>
        <a:xfrm>
          <a:off x="676275" y="1209676"/>
          <a:ext cx="681990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ru-RU"/>
            <a:t>СДЗ </a:t>
          </a:r>
          <a:r>
            <a:rPr lang="en-US"/>
            <a:t>Dallas Lock</a:t>
          </a:r>
          <a:r>
            <a:rPr lang="ru-RU" baseline="0"/>
            <a:t> </a:t>
          </a:r>
          <a:r>
            <a:rPr lang="ru-RU"/>
            <a:t>выпускается в двух вариантах.</a:t>
          </a:r>
          <a:r>
            <a:rPr lang="ru-RU" baseline="0"/>
            <a:t> </a:t>
          </a:r>
          <a:r>
            <a:rPr lang="ru-RU"/>
            <a:t>Оба решения </a:t>
          </a:r>
          <a:r>
            <a:rPr lang="ru-RU" sz="1100">
              <a:solidFill>
                <a:schemeClr val="dk1"/>
              </a:solidFill>
              <a:effectLst/>
              <a:latin typeface="+mn-lt"/>
              <a:ea typeface="+mn-ea"/>
              <a:cs typeface="+mn-cs"/>
            </a:rPr>
            <a:t>блокируют попытки несанкционированной загрузки нештатной операционной системы и </a:t>
          </a:r>
          <a:r>
            <a:rPr lang="ru-RU"/>
            <a:t>предназначены для защиты информации, содержащей сведения, составляющие государственную тайну до уровня «совершенно секретно» включительно, и иной информации с ограниченным доступом.</a:t>
          </a:r>
          <a:r>
            <a:rPr lang="en-US"/>
            <a:t> </a:t>
          </a:r>
          <a:endParaRPr lang="ru-RU" sz="1100" b="0" i="0" baseline="0">
            <a:solidFill>
              <a:schemeClr val="dk1"/>
            </a:solidFill>
            <a:effectLst/>
            <a:latin typeface="+mn-lt"/>
            <a:ea typeface="+mn-ea"/>
            <a:cs typeface="+mn-cs"/>
          </a:endParaRPr>
        </a:p>
        <a:p>
          <a:pPr eaLnBrk="1" fontAlgn="auto" latinLnBrk="0" hangingPunct="1"/>
          <a:endParaRPr lang="ru-RU">
            <a:effectLst/>
          </a:endParaRPr>
        </a:p>
      </xdr:txBody>
    </xdr:sp>
    <xdr:clientData/>
  </xdr:twoCellAnchor>
  <xdr:twoCellAnchor>
    <xdr:from>
      <xdr:col>1</xdr:col>
      <xdr:colOff>1666876</xdr:colOff>
      <xdr:row>6</xdr:row>
      <xdr:rowOff>838199</xdr:rowOff>
    </xdr:from>
    <xdr:to>
      <xdr:col>7</xdr:col>
      <xdr:colOff>28576</xdr:colOff>
      <xdr:row>6</xdr:row>
      <xdr:rowOff>2299607</xdr:rowOff>
    </xdr:to>
    <xdr:sp macro="" textlink="">
      <xdr:nvSpPr>
        <xdr:cNvPr id="34" name="TextBox 33">
          <a:extLst>
            <a:ext uri="{FF2B5EF4-FFF2-40B4-BE49-F238E27FC236}">
              <a16:creationId xmlns:a16="http://schemas.microsoft.com/office/drawing/2014/main" xmlns="" id="{00000000-0008-0000-0C00-000022000000}"/>
            </a:ext>
          </a:extLst>
        </xdr:cNvPr>
        <xdr:cNvSpPr txBox="1"/>
      </xdr:nvSpPr>
      <xdr:spPr>
        <a:xfrm>
          <a:off x="1219201" y="1333499"/>
          <a:ext cx="3076575" cy="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ru-RU" sz="1100" b="1">
              <a:solidFill>
                <a:schemeClr val="dk1"/>
              </a:solidFill>
              <a:effectLst/>
              <a:latin typeface="+mn-lt"/>
              <a:ea typeface="+mn-ea"/>
              <a:cs typeface="+mn-cs"/>
            </a:rPr>
            <a:t>Решение уровня платы расширения (</a:t>
          </a:r>
          <a:r>
            <a:rPr lang="ru-RU" sz="1100" b="0" i="0">
              <a:solidFill>
                <a:schemeClr val="dk1"/>
              </a:solidFill>
              <a:effectLst/>
              <a:latin typeface="+mn-lt"/>
              <a:ea typeface="+mn-ea"/>
              <a:cs typeface="+mn-cs"/>
            </a:rPr>
            <a:t>ИТ.СДЗ.ПР2.ПЗ</a:t>
          </a:r>
          <a:r>
            <a:rPr lang="ru-RU" sz="1100" b="1">
              <a:solidFill>
                <a:schemeClr val="dk1"/>
              </a:solidFill>
              <a:effectLst/>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ru-RU" sz="1100" b="0">
              <a:solidFill>
                <a:schemeClr val="dk1"/>
              </a:solidFill>
              <a:effectLst/>
              <a:latin typeface="+mn-lt"/>
              <a:ea typeface="+mn-ea"/>
              <a:cs typeface="+mn-cs"/>
            </a:rPr>
            <a:t>имеет 3</a:t>
          </a:r>
          <a:r>
            <a:rPr lang="ru-RU" sz="1100" b="0" baseline="0">
              <a:solidFill>
                <a:schemeClr val="dk1"/>
              </a:solidFill>
              <a:effectLst/>
              <a:latin typeface="+mn-lt"/>
              <a:ea typeface="+mn-ea"/>
              <a:cs typeface="+mn-cs"/>
            </a:rPr>
            <a:t> форм-фактора для удобной интеграции в различные модели АРМ</a:t>
          </a:r>
          <a:endParaRPr lang="ru-RU" b="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a:solidFill>
                <a:schemeClr val="dk1"/>
              </a:solidFill>
              <a:effectLst/>
              <a:latin typeface="+mn-lt"/>
              <a:ea typeface="+mn-ea"/>
              <a:cs typeface="+mn-cs"/>
            </a:rPr>
            <a:t>PCI Express</a:t>
          </a:r>
          <a:endParaRPr lang="ru-RU" sz="1100" b="0" i="0">
            <a:solidFill>
              <a:schemeClr val="dk1"/>
            </a:solidFill>
            <a:effectLst/>
            <a:latin typeface="+mn-lt"/>
            <a:ea typeface="+mn-ea"/>
            <a:cs typeface="+mn-cs"/>
          </a:endParaRPr>
        </a:p>
        <a:p>
          <a:pPr marL="171450" indent="-171450" fontAlgn="b">
            <a:buFont typeface="Arial" panose="020B0604020202020204" pitchFamily="34" charset="0"/>
            <a:buChar char="•"/>
          </a:pPr>
          <a:r>
            <a:rPr lang="en-US" sz="1100" b="0" i="0">
              <a:solidFill>
                <a:schemeClr val="dk1"/>
              </a:solidFill>
              <a:effectLst/>
              <a:latin typeface="+mn-lt"/>
              <a:ea typeface="+mn-ea"/>
              <a:cs typeface="+mn-cs"/>
            </a:rPr>
            <a:t>Mini PCI Express</a:t>
          </a:r>
        </a:p>
        <a:p>
          <a:pPr marL="171450" indent="-171450" fontAlgn="b">
            <a:buFont typeface="Arial" panose="020B0604020202020204" pitchFamily="34" charset="0"/>
            <a:buChar char="•"/>
          </a:pPr>
          <a:r>
            <a:rPr lang="en-US" sz="1100" b="0" i="0">
              <a:solidFill>
                <a:schemeClr val="dk1"/>
              </a:solidFill>
              <a:effectLst/>
              <a:latin typeface="+mn-lt"/>
              <a:ea typeface="+mn-ea"/>
              <a:cs typeface="+mn-cs"/>
            </a:rPr>
            <a:t>M2</a:t>
          </a:r>
        </a:p>
        <a:p>
          <a:pPr marL="0" marR="0" lvl="0" indent="0" defTabSz="914400" rtl="0" eaLnBrk="1" fontAlgn="auto" latinLnBrk="0" hangingPunct="1">
            <a:lnSpc>
              <a:spcPct val="100000"/>
            </a:lnSpc>
            <a:spcBef>
              <a:spcPts val="0"/>
            </a:spcBef>
            <a:spcAft>
              <a:spcPts val="0"/>
            </a:spcAft>
            <a:buClrTx/>
            <a:buSzTx/>
            <a:buFontTx/>
            <a:buNone/>
            <a:tabLst/>
            <a:defRPr/>
          </a:pPr>
          <a:r>
            <a:rPr lang="ru-RU" sz="1100" b="1" i="0">
              <a:solidFill>
                <a:schemeClr val="dk1"/>
              </a:solidFill>
              <a:effectLst/>
              <a:latin typeface="+mn-lt"/>
              <a:ea typeface="+mn-ea"/>
              <a:cs typeface="+mn-cs"/>
            </a:rPr>
            <a:t>Сертификат ФСТЭК России № 3666</a:t>
          </a:r>
          <a:r>
            <a:rPr lang="ru-RU" sz="1100" b="0" i="0">
              <a:solidFill>
                <a:schemeClr val="dk1"/>
              </a:solidFill>
              <a:effectLst/>
              <a:latin typeface="+mn-lt"/>
              <a:ea typeface="+mn-ea"/>
              <a:cs typeface="+mn-cs"/>
            </a:rPr>
            <a:t> от </a:t>
          </a:r>
          <a:r>
            <a:rPr lang="en-US" sz="1100" b="0" i="0">
              <a:solidFill>
                <a:schemeClr val="dk1"/>
              </a:solidFill>
              <a:effectLst/>
              <a:latin typeface="+mn-lt"/>
              <a:ea typeface="+mn-ea"/>
              <a:cs typeface="+mn-cs"/>
            </a:rPr>
            <a:t>25</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ноября</a:t>
          </a:r>
          <a:r>
            <a:rPr lang="ru-RU" sz="1100" b="0" i="0">
              <a:solidFill>
                <a:schemeClr val="dk1"/>
              </a:solidFill>
              <a:effectLst/>
              <a:latin typeface="+mn-lt"/>
              <a:ea typeface="+mn-ea"/>
              <a:cs typeface="+mn-cs"/>
            </a:rPr>
            <a:t> 2016 г.</a:t>
          </a:r>
          <a:br>
            <a:rPr lang="ru-RU" sz="1100" b="0" i="0">
              <a:solidFill>
                <a:schemeClr val="dk1"/>
              </a:solidFill>
              <a:effectLst/>
              <a:latin typeface="+mn-lt"/>
              <a:ea typeface="+mn-ea"/>
              <a:cs typeface="+mn-cs"/>
            </a:rPr>
          </a:br>
          <a:r>
            <a:rPr lang="ru-RU" sz="1100" b="1" i="0">
              <a:solidFill>
                <a:schemeClr val="dk1"/>
              </a:solidFill>
              <a:effectLst/>
              <a:latin typeface="+mn-lt"/>
              <a:ea typeface="+mn-ea"/>
              <a:cs typeface="+mn-cs"/>
            </a:rPr>
            <a:t>Сертификат МО России № 5695</a:t>
          </a:r>
          <a:r>
            <a:rPr lang="ru-RU" sz="1100" b="0" i="0">
              <a:solidFill>
                <a:schemeClr val="dk1"/>
              </a:solidFill>
              <a:effectLst/>
              <a:latin typeface="+mn-lt"/>
              <a:ea typeface="+mn-ea"/>
              <a:cs typeface="+mn-cs"/>
            </a:rPr>
            <a:t> от 31</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марта</a:t>
          </a:r>
          <a:r>
            <a:rPr lang="ru-RU" sz="1100" b="0" i="0">
              <a:solidFill>
                <a:schemeClr val="dk1"/>
              </a:solidFill>
              <a:effectLst/>
              <a:latin typeface="+mn-lt"/>
              <a:ea typeface="+mn-ea"/>
              <a:cs typeface="+mn-cs"/>
            </a:rPr>
            <a:t> 2022 г.</a:t>
          </a:r>
          <a:endParaRPr lang="ru-RU">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ru-RU" sz="1100" b="0" i="0" cap="all">
              <a:solidFill>
                <a:schemeClr val="dk1"/>
              </a:solidFill>
              <a:effectLst/>
              <a:latin typeface="+mn-lt"/>
              <a:ea typeface="+mn-ea"/>
              <a:cs typeface="+mn-cs"/>
            </a:rPr>
            <a:t/>
          </a:r>
          <a:br>
            <a:rPr lang="ru-RU" sz="1100" b="0" i="0" cap="all">
              <a:solidFill>
                <a:schemeClr val="dk1"/>
              </a:solidFill>
              <a:effectLst/>
              <a:latin typeface="+mn-lt"/>
              <a:ea typeface="+mn-ea"/>
              <a:cs typeface="+mn-cs"/>
            </a:rPr>
          </a:br>
          <a:endParaRPr lang="ru-RU">
            <a:effectLst/>
          </a:endParaRPr>
        </a:p>
      </xdr:txBody>
    </xdr:sp>
    <xdr:clientData/>
  </xdr:twoCellAnchor>
  <xdr:twoCellAnchor>
    <xdr:from>
      <xdr:col>10</xdr:col>
      <xdr:colOff>63500</xdr:colOff>
      <xdr:row>6</xdr:row>
      <xdr:rowOff>844551</xdr:rowOff>
    </xdr:from>
    <xdr:to>
      <xdr:col>17</xdr:col>
      <xdr:colOff>30390</xdr:colOff>
      <xdr:row>6</xdr:row>
      <xdr:rowOff>1959428</xdr:rowOff>
    </xdr:to>
    <xdr:sp macro="" textlink="">
      <xdr:nvSpPr>
        <xdr:cNvPr id="35" name="TextBox 34">
          <a:extLst>
            <a:ext uri="{FF2B5EF4-FFF2-40B4-BE49-F238E27FC236}">
              <a16:creationId xmlns:a16="http://schemas.microsoft.com/office/drawing/2014/main" xmlns="" id="{00000000-0008-0000-0C00-000023000000}"/>
            </a:ext>
          </a:extLst>
        </xdr:cNvPr>
        <xdr:cNvSpPr txBox="1"/>
      </xdr:nvSpPr>
      <xdr:spPr>
        <a:xfrm>
          <a:off x="6159500" y="1330326"/>
          <a:ext cx="4234090" cy="4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ru-RU" sz="1100" b="1">
              <a:solidFill>
                <a:schemeClr val="dk1"/>
              </a:solidFill>
              <a:effectLst/>
              <a:latin typeface="+mn-lt"/>
              <a:ea typeface="+mn-ea"/>
              <a:cs typeface="+mn-cs"/>
            </a:rPr>
            <a:t>Решение уровня базовой системы ввода-вывода (</a:t>
          </a:r>
          <a:r>
            <a:rPr lang="ru-RU" sz="1100" b="0" i="0">
              <a:solidFill>
                <a:schemeClr val="dk1"/>
              </a:solidFill>
              <a:effectLst/>
              <a:latin typeface="+mn-lt"/>
              <a:ea typeface="+mn-ea"/>
              <a:cs typeface="+mn-cs"/>
            </a:rPr>
            <a:t>ИТ.СДЗ.УБ2.ПЗ</a:t>
          </a:r>
          <a:r>
            <a:rPr lang="ru-RU" sz="1100" b="1">
              <a:solidFill>
                <a:schemeClr val="dk1"/>
              </a:solidFill>
              <a:effectLst/>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ru-RU" sz="1100">
              <a:solidFill>
                <a:schemeClr val="dk1"/>
              </a:solidFill>
              <a:effectLst/>
              <a:latin typeface="+mn-lt"/>
              <a:ea typeface="+mn-ea"/>
              <a:cs typeface="+mn-cs"/>
            </a:rPr>
            <a:t>Это программно-техническое средство, которое встраивается в базовую систему ввода-вывода и</a:t>
          </a:r>
          <a:r>
            <a:rPr lang="ru-RU" sz="1100" baseline="0">
              <a:solidFill>
                <a:schemeClr val="dk1"/>
              </a:solidFill>
              <a:effectLst/>
              <a:latin typeface="+mn-lt"/>
              <a:ea typeface="+mn-ea"/>
              <a:cs typeface="+mn-cs"/>
            </a:rPr>
            <a:t> поставляется в виде </a:t>
          </a:r>
          <a:r>
            <a:rPr lang="en-US"/>
            <a:t>USB-flash </a:t>
          </a:r>
          <a:r>
            <a:rPr lang="ru-RU"/>
            <a:t>накопителя.</a:t>
          </a:r>
          <a:br>
            <a:rPr lang="ru-RU"/>
          </a:br>
          <a:r>
            <a:rPr lang="ru-RU" sz="1100" b="1" i="0">
              <a:solidFill>
                <a:schemeClr val="dk1"/>
              </a:solidFill>
              <a:effectLst/>
              <a:latin typeface="+mn-lt"/>
              <a:ea typeface="+mn-ea"/>
              <a:cs typeface="+mn-cs"/>
            </a:rPr>
            <a:t>Сертификат ФСТЭК России № 4786</a:t>
          </a:r>
          <a:r>
            <a:rPr lang="ru-RU" sz="1100" b="0" i="0">
              <a:solidFill>
                <a:schemeClr val="dk1"/>
              </a:solidFill>
              <a:effectLst/>
              <a:latin typeface="+mn-lt"/>
              <a:ea typeface="+mn-ea"/>
              <a:cs typeface="+mn-cs"/>
            </a:rPr>
            <a:t> от 13</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марта</a:t>
          </a:r>
          <a:r>
            <a:rPr lang="ru-RU" sz="1100" b="0" i="0">
              <a:solidFill>
                <a:schemeClr val="dk1"/>
              </a:solidFill>
              <a:effectLst/>
              <a:latin typeface="+mn-lt"/>
              <a:ea typeface="+mn-ea"/>
              <a:cs typeface="+mn-cs"/>
            </a:rPr>
            <a:t> 2024 г.</a:t>
          </a:r>
          <a:endParaRPr lang="ru-RU">
            <a:effectLst/>
          </a:endParaRPr>
        </a:p>
      </xdr:txBody>
    </xdr:sp>
    <xdr:clientData/>
  </xdr:twoCellAnchor>
  <xdr:oneCellAnchor>
    <xdr:from>
      <xdr:col>1</xdr:col>
      <xdr:colOff>47625</xdr:colOff>
      <xdr:row>8</xdr:row>
      <xdr:rowOff>28574</xdr:rowOff>
    </xdr:from>
    <xdr:ext cx="342900" cy="466726"/>
    <xdr:pic>
      <xdr:nvPicPr>
        <xdr:cNvPr id="36" name="Рисунок 35">
          <a:extLst>
            <a:ext uri="{FF2B5EF4-FFF2-40B4-BE49-F238E27FC236}">
              <a16:creationId xmlns:a16="http://schemas.microsoft.com/office/drawing/2014/main" xmlns="" id="{00000000-0008-0000-0C00-000024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57225" y="1552574"/>
          <a:ext cx="342900" cy="466726"/>
        </a:xfrm>
        <a:prstGeom prst="rect">
          <a:avLst/>
        </a:prstGeom>
      </xdr:spPr>
    </xdr:pic>
    <xdr:clientData/>
  </xdr:oneCellAnchor>
  <xdr:twoCellAnchor>
    <xdr:from>
      <xdr:col>15</xdr:col>
      <xdr:colOff>422651</xdr:colOff>
      <xdr:row>9</xdr:row>
      <xdr:rowOff>458820</xdr:rowOff>
    </xdr:from>
    <xdr:to>
      <xdr:col>16</xdr:col>
      <xdr:colOff>348628</xdr:colOff>
      <xdr:row>9</xdr:row>
      <xdr:rowOff>1045884</xdr:rowOff>
    </xdr:to>
    <xdr:grpSp>
      <xdr:nvGrpSpPr>
        <xdr:cNvPr id="37" name="Группа 36">
          <a:extLst>
            <a:ext uri="{FF2B5EF4-FFF2-40B4-BE49-F238E27FC236}">
              <a16:creationId xmlns:a16="http://schemas.microsoft.com/office/drawing/2014/main" xmlns="" id="{00000000-0008-0000-0C00-000025000000}"/>
            </a:ext>
          </a:extLst>
        </xdr:cNvPr>
        <xdr:cNvGrpSpPr/>
      </xdr:nvGrpSpPr>
      <xdr:grpSpPr>
        <a:xfrm>
          <a:off x="10804901" y="12405891"/>
          <a:ext cx="538298" cy="587064"/>
          <a:chOff x="13402234" y="7417072"/>
          <a:chExt cx="1389920" cy="1390005"/>
        </a:xfrm>
      </xdr:grpSpPr>
      <xdr:pic>
        <xdr:nvPicPr>
          <xdr:cNvPr id="38" name="Picture 4" descr="BaseALT">
            <a:extLst>
              <a:ext uri="{FF2B5EF4-FFF2-40B4-BE49-F238E27FC236}">
                <a16:creationId xmlns:a16="http://schemas.microsoft.com/office/drawing/2014/main" xmlns="" id="{00000000-0008-0000-0C00-000026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13536909" y="7732718"/>
            <a:ext cx="1152525" cy="80962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9" name="Овал 38">
            <a:extLst>
              <a:ext uri="{FF2B5EF4-FFF2-40B4-BE49-F238E27FC236}">
                <a16:creationId xmlns:a16="http://schemas.microsoft.com/office/drawing/2014/main" xmlns="" id="{00000000-0008-0000-0C00-000027000000}"/>
              </a:ext>
            </a:extLst>
          </xdr:cNvPr>
          <xdr:cNvSpPr/>
        </xdr:nvSpPr>
        <xdr:spPr>
          <a:xfrm>
            <a:off x="13402234" y="7417072"/>
            <a:ext cx="1389920" cy="1390005"/>
          </a:xfrm>
          <a:prstGeom prst="ellipse">
            <a:avLst/>
          </a:prstGeom>
          <a:noFill/>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ru-RU"/>
            </a:defPPr>
            <a:lvl1pPr marL="0" algn="l" defTabSz="1727699" rtl="0" eaLnBrk="1" latinLnBrk="0" hangingPunct="1">
              <a:defRPr sz="3400" kern="1200">
                <a:solidFill>
                  <a:schemeClr val="dk1"/>
                </a:solidFill>
                <a:latin typeface="+mn-lt"/>
                <a:ea typeface="+mn-ea"/>
                <a:cs typeface="+mn-cs"/>
              </a:defRPr>
            </a:lvl1pPr>
            <a:lvl2pPr marL="863849" algn="l" defTabSz="1727699" rtl="0" eaLnBrk="1" latinLnBrk="0" hangingPunct="1">
              <a:defRPr sz="3400" kern="1200">
                <a:solidFill>
                  <a:schemeClr val="dk1"/>
                </a:solidFill>
                <a:latin typeface="+mn-lt"/>
                <a:ea typeface="+mn-ea"/>
                <a:cs typeface="+mn-cs"/>
              </a:defRPr>
            </a:lvl2pPr>
            <a:lvl3pPr marL="1727699" algn="l" defTabSz="1727699" rtl="0" eaLnBrk="1" latinLnBrk="0" hangingPunct="1">
              <a:defRPr sz="3400" kern="1200">
                <a:solidFill>
                  <a:schemeClr val="dk1"/>
                </a:solidFill>
                <a:latin typeface="+mn-lt"/>
                <a:ea typeface="+mn-ea"/>
                <a:cs typeface="+mn-cs"/>
              </a:defRPr>
            </a:lvl3pPr>
            <a:lvl4pPr marL="2591548" algn="l" defTabSz="1727699" rtl="0" eaLnBrk="1" latinLnBrk="0" hangingPunct="1">
              <a:defRPr sz="3400" kern="1200">
                <a:solidFill>
                  <a:schemeClr val="dk1"/>
                </a:solidFill>
                <a:latin typeface="+mn-lt"/>
                <a:ea typeface="+mn-ea"/>
                <a:cs typeface="+mn-cs"/>
              </a:defRPr>
            </a:lvl4pPr>
            <a:lvl5pPr marL="3455397" algn="l" defTabSz="1727699" rtl="0" eaLnBrk="1" latinLnBrk="0" hangingPunct="1">
              <a:defRPr sz="3400" kern="1200">
                <a:solidFill>
                  <a:schemeClr val="dk1"/>
                </a:solidFill>
                <a:latin typeface="+mn-lt"/>
                <a:ea typeface="+mn-ea"/>
                <a:cs typeface="+mn-cs"/>
              </a:defRPr>
            </a:lvl5pPr>
            <a:lvl6pPr marL="4319249" algn="l" defTabSz="1727699" rtl="0" eaLnBrk="1" latinLnBrk="0" hangingPunct="1">
              <a:defRPr sz="3400" kern="1200">
                <a:solidFill>
                  <a:schemeClr val="dk1"/>
                </a:solidFill>
                <a:latin typeface="+mn-lt"/>
                <a:ea typeface="+mn-ea"/>
                <a:cs typeface="+mn-cs"/>
              </a:defRPr>
            </a:lvl6pPr>
            <a:lvl7pPr marL="5183098" algn="l" defTabSz="1727699" rtl="0" eaLnBrk="1" latinLnBrk="0" hangingPunct="1">
              <a:defRPr sz="3400" kern="1200">
                <a:solidFill>
                  <a:schemeClr val="dk1"/>
                </a:solidFill>
                <a:latin typeface="+mn-lt"/>
                <a:ea typeface="+mn-ea"/>
                <a:cs typeface="+mn-cs"/>
              </a:defRPr>
            </a:lvl7pPr>
            <a:lvl8pPr marL="6046950" algn="l" defTabSz="1727699" rtl="0" eaLnBrk="1" latinLnBrk="0" hangingPunct="1">
              <a:defRPr sz="3400" kern="1200">
                <a:solidFill>
                  <a:schemeClr val="dk1"/>
                </a:solidFill>
                <a:latin typeface="+mn-lt"/>
                <a:ea typeface="+mn-ea"/>
                <a:cs typeface="+mn-cs"/>
              </a:defRPr>
            </a:lvl8pPr>
            <a:lvl9pPr marL="6910799" algn="l" defTabSz="1727699" rtl="0" eaLnBrk="1" latinLnBrk="0" hangingPunct="1">
              <a:defRPr sz="3400" kern="1200">
                <a:solidFill>
                  <a:schemeClr val="dk1"/>
                </a:solidFill>
                <a:latin typeface="+mn-lt"/>
                <a:ea typeface="+mn-ea"/>
                <a:cs typeface="+mn-cs"/>
              </a:defRPr>
            </a:lvl9pPr>
          </a:lstStyle>
          <a:p>
            <a:pPr algn="ctr" defTabSz="685699"/>
            <a:endParaRPr lang="ru-RU" sz="1349">
              <a:solidFill>
                <a:prstClr val="black"/>
              </a:solidFill>
              <a:latin typeface="Calibri"/>
            </a:endParaRPr>
          </a:p>
        </xdr:txBody>
      </xdr:sp>
    </xdr:grpSp>
    <xdr:clientData/>
  </xdr:twoCellAnchor>
  <xdr:oneCellAnchor>
    <xdr:from>
      <xdr:col>12</xdr:col>
      <xdr:colOff>142346</xdr:colOff>
      <xdr:row>9</xdr:row>
      <xdr:rowOff>931521</xdr:rowOff>
    </xdr:from>
    <xdr:ext cx="1474752" cy="785769"/>
    <xdr:pic>
      <xdr:nvPicPr>
        <xdr:cNvPr id="40" name="Рисунок 39">
          <a:extLst>
            <a:ext uri="{FF2B5EF4-FFF2-40B4-BE49-F238E27FC236}">
              <a16:creationId xmlns:a16="http://schemas.microsoft.com/office/drawing/2014/main" xmlns="" id="{00000000-0008-0000-0C00-000028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57546" y="1903071"/>
          <a:ext cx="1474752" cy="785769"/>
        </a:xfrm>
        <a:prstGeom prst="rect">
          <a:avLst/>
        </a:prstGeom>
      </xdr:spPr>
    </xdr:pic>
    <xdr:clientData/>
  </xdr:oneCellAnchor>
  <xdr:oneCellAnchor>
    <xdr:from>
      <xdr:col>15</xdr:col>
      <xdr:colOff>73617</xdr:colOff>
      <xdr:row>9</xdr:row>
      <xdr:rowOff>1152022</xdr:rowOff>
    </xdr:from>
    <xdr:ext cx="955442" cy="525624"/>
    <xdr:pic>
      <xdr:nvPicPr>
        <xdr:cNvPr id="41" name="Picture 4" descr="ROSA Desktop.Fresh">
          <a:extLst>
            <a:ext uri="{FF2B5EF4-FFF2-40B4-BE49-F238E27FC236}">
              <a16:creationId xmlns:a16="http://schemas.microsoft.com/office/drawing/2014/main" xmlns="" id="{00000000-0008-0000-0C00-000029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217617" y="1904497"/>
          <a:ext cx="955442" cy="5256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592099</xdr:colOff>
      <xdr:row>9</xdr:row>
      <xdr:rowOff>877749</xdr:rowOff>
    </xdr:from>
    <xdr:ext cx="766505" cy="292507"/>
    <xdr:pic>
      <xdr:nvPicPr>
        <xdr:cNvPr id="42" name="Picture 2" descr="РЕД ОС">
          <a:extLst>
            <a:ext uri="{FF2B5EF4-FFF2-40B4-BE49-F238E27FC236}">
              <a16:creationId xmlns:a16="http://schemas.microsoft.com/office/drawing/2014/main" xmlns="" id="{00000000-0008-0000-0C00-00002A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749706" y="12824820"/>
          <a:ext cx="766505" cy="2925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77263</xdr:colOff>
      <xdr:row>71</xdr:row>
      <xdr:rowOff>164809</xdr:rowOff>
    </xdr:from>
    <xdr:to>
      <xdr:col>13</xdr:col>
      <xdr:colOff>509998</xdr:colOff>
      <xdr:row>87</xdr:row>
      <xdr:rowOff>175532</xdr:rowOff>
    </xdr:to>
    <xdr:sp macro="" textlink="">
      <xdr:nvSpPr>
        <xdr:cNvPr id="43" name="TextBox 42">
          <a:extLst>
            <a:ext uri="{FF2B5EF4-FFF2-40B4-BE49-F238E27FC236}">
              <a16:creationId xmlns:a16="http://schemas.microsoft.com/office/drawing/2014/main" xmlns="" id="{00000000-0008-0000-0C00-00002B000000}"/>
            </a:ext>
          </a:extLst>
        </xdr:cNvPr>
        <xdr:cNvSpPr txBox="1"/>
      </xdr:nvSpPr>
      <xdr:spPr>
        <a:xfrm>
          <a:off x="686863" y="13690309"/>
          <a:ext cx="7747935" cy="3058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ru-RU" sz="1400" b="1" i="0" u="none" baseline="0">
              <a:solidFill>
                <a:schemeClr val="dk1"/>
              </a:solidFill>
              <a:effectLst/>
              <a:latin typeface="+mn-lt"/>
              <a:ea typeface="+mn-ea"/>
              <a:cs typeface="+mn-cs"/>
            </a:rPr>
            <a:t>Ключевые особенности:</a:t>
          </a:r>
          <a:endParaRPr lang="ru-RU" sz="1400" u="none">
            <a:effectLst/>
          </a:endParaRP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На прикладном уровне: анализ трафика веб-приложений и обнаружение вторжений</a:t>
          </a: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На транспортном и сетевом уровне: обнаружение атак на сетевую инфраструктуру</a:t>
          </a: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Защита от угроз из списка OWASP TOP 10, XSS, CSRF, bruteforce-атак</a:t>
          </a: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Инспекция SSL/TLS</a:t>
          </a:r>
        </a:p>
        <a:p>
          <a:pPr marL="171450" indent="-171450" algn="l" rtl="0" eaLnBrk="1" latinLnBrk="0" hangingPunct="1">
            <a:spcBef>
              <a:spcPts val="600"/>
            </a:spcBef>
            <a:buFont typeface="Wingdings" panose="05000000000000000000" pitchFamily="2" charset="2"/>
            <a:buChar char="v"/>
          </a:pPr>
          <a:r>
            <a:rPr lang="en-US" sz="1100" b="0">
              <a:solidFill>
                <a:schemeClr val="dk1"/>
              </a:solidFill>
              <a:effectLst/>
              <a:latin typeface="+mn-lt"/>
              <a:ea typeface="+mn-ea"/>
              <a:cs typeface="+mn-cs"/>
            </a:rPr>
            <a:t>GEO IP</a:t>
          </a:r>
          <a:r>
            <a:rPr lang="ru-RU" sz="1100" b="0">
              <a:solidFill>
                <a:schemeClr val="dk1"/>
              </a:solidFill>
              <a:effectLst/>
              <a:latin typeface="+mn-lt"/>
              <a:ea typeface="+mn-ea"/>
              <a:cs typeface="+mn-cs"/>
            </a:rPr>
            <a:t>-фильтр</a:t>
          </a: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Защита от </a:t>
          </a:r>
          <a:r>
            <a:rPr lang="en-US" sz="1100" b="0">
              <a:solidFill>
                <a:schemeClr val="dk1"/>
              </a:solidFill>
              <a:effectLst/>
              <a:latin typeface="+mn-lt"/>
              <a:ea typeface="+mn-ea"/>
              <a:cs typeface="+mn-cs"/>
            </a:rPr>
            <a:t>DoS/DDoS</a:t>
          </a:r>
          <a:endParaRPr lang="ru-RU" sz="1100" b="0">
            <a:solidFill>
              <a:schemeClr val="dk1"/>
            </a:solidFill>
            <a:effectLst/>
            <a:latin typeface="+mn-lt"/>
            <a:ea typeface="+mn-ea"/>
            <a:cs typeface="+mn-cs"/>
          </a:endParaRP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Поддержка протокола </a:t>
          </a:r>
          <a:r>
            <a:rPr lang="en-US" sz="1100" b="0">
              <a:solidFill>
                <a:schemeClr val="dk1"/>
              </a:solidFill>
              <a:effectLst/>
              <a:latin typeface="+mn-lt"/>
              <a:ea typeface="+mn-ea"/>
              <a:cs typeface="+mn-cs"/>
            </a:rPr>
            <a:t>HTTP 2.0/3.0</a:t>
          </a:r>
          <a:endParaRPr lang="ru-RU" sz="1100" b="0">
            <a:solidFill>
              <a:schemeClr val="dk1"/>
            </a:solidFill>
            <a:effectLst/>
            <a:latin typeface="+mn-lt"/>
            <a:ea typeface="+mn-ea"/>
            <a:cs typeface="+mn-cs"/>
          </a:endParaRP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Работа в режиме отказоустойчивого кластера </a:t>
          </a: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Графическая панель мониторинга системы с отображением статистики</a:t>
          </a:r>
        </a:p>
        <a:p>
          <a:pPr marL="171450" indent="-171450" algn="l" rtl="0" eaLnBrk="1" latinLnBrk="0" hangingPunct="1">
            <a:spcBef>
              <a:spcPts val="600"/>
            </a:spcBef>
            <a:buFont typeface="Wingdings" panose="05000000000000000000" pitchFamily="2" charset="2"/>
            <a:buChar char="v"/>
          </a:pPr>
          <a:r>
            <a:rPr lang="ru-RU" sz="1100" b="0">
              <a:solidFill>
                <a:schemeClr val="dk1"/>
              </a:solidFill>
              <a:effectLst/>
              <a:latin typeface="+mn-lt"/>
              <a:ea typeface="+mn-ea"/>
              <a:cs typeface="+mn-cs"/>
            </a:rPr>
            <a:t>Централизованный мониторинг и управление защитой из ЕЦУ</a:t>
          </a:r>
          <a:r>
            <a:rPr lang="en-US" sz="1100" b="0">
              <a:solidFill>
                <a:schemeClr val="dk1"/>
              </a:solidFill>
              <a:effectLst/>
              <a:latin typeface="+mn-lt"/>
              <a:ea typeface="+mn-ea"/>
              <a:cs typeface="+mn-cs"/>
            </a:rPr>
            <a:t> Dallas Lock</a:t>
          </a:r>
          <a:r>
            <a:rPr lang="ru-RU" sz="1100" b="0">
              <a:solidFill>
                <a:schemeClr val="dk1"/>
              </a:solidFill>
              <a:effectLst/>
              <a:latin typeface="+mn-lt"/>
              <a:ea typeface="+mn-ea"/>
              <a:cs typeface="+mn-cs"/>
            </a:rPr>
            <a:t> </a:t>
          </a:r>
        </a:p>
      </xdr:txBody>
    </xdr:sp>
    <xdr:clientData/>
  </xdr:twoCellAnchor>
  <xdr:twoCellAnchor>
    <xdr:from>
      <xdr:col>1</xdr:col>
      <xdr:colOff>988136</xdr:colOff>
      <xdr:row>59</xdr:row>
      <xdr:rowOff>74409</xdr:rowOff>
    </xdr:from>
    <xdr:to>
      <xdr:col>5</xdr:col>
      <xdr:colOff>570442</xdr:colOff>
      <xdr:row>62</xdr:row>
      <xdr:rowOff>75539</xdr:rowOff>
    </xdr:to>
    <xdr:sp macro="" textlink="">
      <xdr:nvSpPr>
        <xdr:cNvPr id="44" name="TextBox 43">
          <a:extLst>
            <a:ext uri="{FF2B5EF4-FFF2-40B4-BE49-F238E27FC236}">
              <a16:creationId xmlns:a16="http://schemas.microsoft.com/office/drawing/2014/main" xmlns="" id="{00000000-0008-0000-0C00-00002C000000}"/>
            </a:ext>
          </a:extLst>
        </xdr:cNvPr>
        <xdr:cNvSpPr txBox="1"/>
      </xdr:nvSpPr>
      <xdr:spPr>
        <a:xfrm>
          <a:off x="1216736" y="11313909"/>
          <a:ext cx="2401706" cy="5726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WAF (Web Application Firewall) </a:t>
          </a:r>
          <a:r>
            <a:rPr lang="en-US" sz="1400">
              <a:solidFill>
                <a:schemeClr val="dk1"/>
              </a:solidFill>
              <a:effectLst/>
              <a:latin typeface="+mn-lt"/>
              <a:ea typeface="+mn-ea"/>
              <a:cs typeface="+mn-cs"/>
            </a:rPr>
            <a:t>— </a:t>
          </a:r>
        </a:p>
        <a:p>
          <a:pPr marL="0" marR="0" lvl="0" indent="0" defTabSz="914400" rtl="0" eaLnBrk="1" fontAlgn="auto" latinLnBrk="0" hangingPunct="1">
            <a:lnSpc>
              <a:spcPct val="100000"/>
            </a:lnSpc>
            <a:spcBef>
              <a:spcPts val="0"/>
            </a:spcBef>
            <a:spcAft>
              <a:spcPts val="0"/>
            </a:spcAft>
            <a:buClrTx/>
            <a:buSzTx/>
            <a:buFontTx/>
            <a:buNone/>
            <a:tabLst/>
            <a:defRPr/>
          </a:pPr>
          <a:r>
            <a:rPr lang="ru-RU" sz="1400">
              <a:solidFill>
                <a:schemeClr val="dk1"/>
              </a:solidFill>
              <a:effectLst/>
              <a:latin typeface="+mn-lt"/>
              <a:ea typeface="+mn-ea"/>
              <a:cs typeface="+mn-cs"/>
            </a:rPr>
            <a:t>межсетевой экран уровня веб-приложений</a:t>
          </a:r>
          <a:r>
            <a:rPr lang="ru-RU" sz="1400" b="0" i="0" cap="all">
              <a:solidFill>
                <a:schemeClr val="dk1"/>
              </a:solidFill>
              <a:effectLst/>
              <a:latin typeface="+mn-lt"/>
              <a:ea typeface="+mn-ea"/>
              <a:cs typeface="+mn-cs"/>
            </a:rPr>
            <a:t/>
          </a:r>
          <a:br>
            <a:rPr lang="ru-RU" sz="1400" b="0" i="0" cap="all">
              <a:solidFill>
                <a:schemeClr val="dk1"/>
              </a:solidFill>
              <a:effectLst/>
              <a:latin typeface="+mn-lt"/>
              <a:ea typeface="+mn-ea"/>
              <a:cs typeface="+mn-cs"/>
            </a:rPr>
          </a:br>
          <a:endParaRPr lang="ru-RU" sz="1400">
            <a:effectLst/>
          </a:endParaRPr>
        </a:p>
      </xdr:txBody>
    </xdr:sp>
    <xdr:clientData/>
  </xdr:twoCellAnchor>
  <xdr:twoCellAnchor>
    <xdr:from>
      <xdr:col>1</xdr:col>
      <xdr:colOff>983412</xdr:colOff>
      <xdr:row>64</xdr:row>
      <xdr:rowOff>89816</xdr:rowOff>
    </xdr:from>
    <xdr:to>
      <xdr:col>6</xdr:col>
      <xdr:colOff>66140</xdr:colOff>
      <xdr:row>68</xdr:row>
      <xdr:rowOff>167107</xdr:rowOff>
    </xdr:to>
    <xdr:sp macro="" textlink="">
      <xdr:nvSpPr>
        <xdr:cNvPr id="45" name="TextBox 44">
          <a:extLst>
            <a:ext uri="{FF2B5EF4-FFF2-40B4-BE49-F238E27FC236}">
              <a16:creationId xmlns:a16="http://schemas.microsoft.com/office/drawing/2014/main" xmlns="" id="{00000000-0008-0000-0C00-00002D000000}"/>
            </a:ext>
          </a:extLst>
        </xdr:cNvPr>
        <xdr:cNvSpPr txBox="1"/>
      </xdr:nvSpPr>
      <xdr:spPr>
        <a:xfrm>
          <a:off x="1221537" y="12281816"/>
          <a:ext cx="2502203" cy="839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UTM (Unified Threat Management) </a:t>
          </a:r>
          <a:r>
            <a:rPr lang="en-US" sz="1400">
              <a:solidFill>
                <a:schemeClr val="dk1"/>
              </a:solidFill>
              <a:effectLst/>
              <a:latin typeface="+mn-lt"/>
              <a:ea typeface="+mn-ea"/>
              <a:cs typeface="+mn-cs"/>
            </a:rPr>
            <a:t>— </a:t>
          </a:r>
          <a:r>
            <a:rPr lang="ru-RU" sz="1400">
              <a:solidFill>
                <a:schemeClr val="dk1"/>
              </a:solidFill>
              <a:effectLst/>
              <a:latin typeface="+mn-lt"/>
              <a:ea typeface="+mn-ea"/>
              <a:cs typeface="+mn-cs"/>
            </a:rPr>
            <a:t>межсетевой экран уровня логических границ сети и система обнаружения вторжений уровня сети</a:t>
          </a:r>
          <a:r>
            <a:rPr lang="en-US" sz="1400">
              <a:solidFill>
                <a:schemeClr val="dk1"/>
              </a:solidFill>
              <a:effectLst/>
              <a:latin typeface="+mn-lt"/>
              <a:ea typeface="+mn-ea"/>
              <a:cs typeface="+mn-cs"/>
            </a:rPr>
            <a:t>.</a:t>
          </a:r>
          <a:endParaRPr lang="ru-RU" sz="1400">
            <a:effectLst/>
          </a:endParaRPr>
        </a:p>
      </xdr:txBody>
    </xdr:sp>
    <xdr:clientData/>
  </xdr:twoCellAnchor>
  <xdr:oneCellAnchor>
    <xdr:from>
      <xdr:col>1</xdr:col>
      <xdr:colOff>21404</xdr:colOff>
      <xdr:row>51</xdr:row>
      <xdr:rowOff>57809</xdr:rowOff>
    </xdr:from>
    <xdr:ext cx="339449" cy="434494"/>
    <xdr:pic>
      <xdr:nvPicPr>
        <xdr:cNvPr id="46" name="Рисунок 45">
          <a:extLst>
            <a:ext uri="{FF2B5EF4-FFF2-40B4-BE49-F238E27FC236}">
              <a16:creationId xmlns:a16="http://schemas.microsoft.com/office/drawing/2014/main" xmlns="" id="{00000000-0008-0000-0C00-00002E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1004" y="9773309"/>
          <a:ext cx="339449" cy="434494"/>
        </a:xfrm>
        <a:prstGeom prst="rect">
          <a:avLst/>
        </a:prstGeom>
      </xdr:spPr>
    </xdr:pic>
    <xdr:clientData/>
  </xdr:oneCellAnchor>
  <xdr:oneCellAnchor>
    <xdr:from>
      <xdr:col>1</xdr:col>
      <xdr:colOff>172611</xdr:colOff>
      <xdr:row>59</xdr:row>
      <xdr:rowOff>55780</xdr:rowOff>
    </xdr:from>
    <xdr:ext cx="654599" cy="560488"/>
    <xdr:pic>
      <xdr:nvPicPr>
        <xdr:cNvPr id="47" name="Рисунок 46">
          <a:extLst>
            <a:ext uri="{FF2B5EF4-FFF2-40B4-BE49-F238E27FC236}">
              <a16:creationId xmlns:a16="http://schemas.microsoft.com/office/drawing/2014/main" xmlns="" id="{00000000-0008-0000-0C00-00002F000000}"/>
            </a:ext>
          </a:extLst>
        </xdr:cNvPr>
        <xdr:cNvPicPr/>
      </xdr:nvPicPr>
      <xdr:blipFill>
        <a:blip xmlns:r="http://schemas.openxmlformats.org/officeDocument/2006/relationships" r:embed="rId22">
          <a:extLst>
            <a:ext uri="{96DAC541-7B7A-43D3-8B79-37D633B846F1}">
              <asvg:svgBlip xmlns:asvg="http://schemas.microsoft.com/office/drawing/2016/SVG/main" xmlns="" r:embed="rId23"/>
            </a:ext>
          </a:extLst>
        </a:blip>
        <a:stretch>
          <a:fillRect/>
        </a:stretch>
      </xdr:blipFill>
      <xdr:spPr>
        <a:xfrm>
          <a:off x="782211" y="11295280"/>
          <a:ext cx="654599" cy="560488"/>
        </a:xfrm>
        <a:prstGeom prst="rect">
          <a:avLst/>
        </a:prstGeom>
      </xdr:spPr>
    </xdr:pic>
    <xdr:clientData/>
  </xdr:oneCellAnchor>
  <xdr:oneCellAnchor>
    <xdr:from>
      <xdr:col>1</xdr:col>
      <xdr:colOff>163441</xdr:colOff>
      <xdr:row>64</xdr:row>
      <xdr:rowOff>79694</xdr:rowOff>
    </xdr:from>
    <xdr:ext cx="691366" cy="597141"/>
    <xdr:pic>
      <xdr:nvPicPr>
        <xdr:cNvPr id="48" name="Рисунок 47">
          <a:extLst>
            <a:ext uri="{FF2B5EF4-FFF2-40B4-BE49-F238E27FC236}">
              <a16:creationId xmlns:a16="http://schemas.microsoft.com/office/drawing/2014/main" xmlns="" id="{00000000-0008-0000-0C00-000030000000}"/>
            </a:ext>
          </a:extLst>
        </xdr:cNvPr>
        <xdr:cNvPicPr/>
      </xdr:nvPicPr>
      <xdr:blipFill>
        <a:blip xmlns:r="http://schemas.openxmlformats.org/officeDocument/2006/relationships" r:embed="rId24">
          <a:extLst>
            <a:ext uri="{96DAC541-7B7A-43D3-8B79-37D633B846F1}">
              <asvg:svgBlip xmlns:asvg="http://schemas.microsoft.com/office/drawing/2016/SVG/main" xmlns="" r:embed="rId25"/>
            </a:ext>
          </a:extLst>
        </a:blip>
        <a:stretch>
          <a:fillRect/>
        </a:stretch>
      </xdr:blipFill>
      <xdr:spPr>
        <a:xfrm>
          <a:off x="773041" y="12271694"/>
          <a:ext cx="691366" cy="597141"/>
        </a:xfrm>
        <a:prstGeom prst="rect">
          <a:avLst/>
        </a:prstGeom>
      </xdr:spPr>
    </xdr:pic>
    <xdr:clientData/>
  </xdr:oneCellAnchor>
  <xdr:oneCellAnchor>
    <xdr:from>
      <xdr:col>0</xdr:col>
      <xdr:colOff>128427</xdr:colOff>
      <xdr:row>19</xdr:row>
      <xdr:rowOff>42810</xdr:rowOff>
    </xdr:from>
    <xdr:ext cx="372877" cy="470898"/>
    <xdr:pic>
      <xdr:nvPicPr>
        <xdr:cNvPr id="49" name="Рисунок 48">
          <a:extLst>
            <a:ext uri="{FF2B5EF4-FFF2-40B4-BE49-F238E27FC236}">
              <a16:creationId xmlns:a16="http://schemas.microsoft.com/office/drawing/2014/main" xmlns="" id="{00000000-0008-0000-0C00-000031000000}"/>
            </a:ext>
          </a:extLst>
        </xdr:cNvPr>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8427" y="3662310"/>
          <a:ext cx="372877" cy="470898"/>
        </a:xfrm>
        <a:prstGeom prst="rect">
          <a:avLst/>
        </a:prstGeom>
      </xdr:spPr>
    </xdr:pic>
    <xdr:clientData/>
  </xdr:oneCellAnchor>
  <xdr:twoCellAnchor>
    <xdr:from>
      <xdr:col>1</xdr:col>
      <xdr:colOff>260886</xdr:colOff>
      <xdr:row>22</xdr:row>
      <xdr:rowOff>1727</xdr:rowOff>
    </xdr:from>
    <xdr:to>
      <xdr:col>1</xdr:col>
      <xdr:colOff>1557617</xdr:colOff>
      <xdr:row>26</xdr:row>
      <xdr:rowOff>12359</xdr:rowOff>
    </xdr:to>
    <xdr:grpSp>
      <xdr:nvGrpSpPr>
        <xdr:cNvPr id="50" name="Группа 49">
          <a:extLst>
            <a:ext uri="{FF2B5EF4-FFF2-40B4-BE49-F238E27FC236}">
              <a16:creationId xmlns:a16="http://schemas.microsoft.com/office/drawing/2014/main" xmlns="" id="{00000000-0008-0000-0C00-000032000000}"/>
            </a:ext>
          </a:extLst>
        </xdr:cNvPr>
        <xdr:cNvGrpSpPr/>
      </xdr:nvGrpSpPr>
      <xdr:grpSpPr>
        <a:xfrm>
          <a:off x="437779" y="33584156"/>
          <a:ext cx="1296731" cy="772632"/>
          <a:chOff x="11111192" y="3050754"/>
          <a:chExt cx="2680970" cy="1518657"/>
        </a:xfrm>
      </xdr:grpSpPr>
      <xdr:pic>
        <xdr:nvPicPr>
          <xdr:cNvPr id="51" name="Рисунок 50">
            <a:extLst>
              <a:ext uri="{FF2B5EF4-FFF2-40B4-BE49-F238E27FC236}">
                <a16:creationId xmlns:a16="http://schemas.microsoft.com/office/drawing/2014/main" xmlns="" id="{00000000-0008-0000-0C00-000033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rot="19175618">
            <a:off x="11111192" y="3390337"/>
            <a:ext cx="804545" cy="1023269"/>
          </a:xfrm>
          <a:prstGeom prst="rect">
            <a:avLst/>
          </a:prstGeom>
        </xdr:spPr>
      </xdr:pic>
      <xdr:pic>
        <xdr:nvPicPr>
          <xdr:cNvPr id="52" name="Picture 5">
            <a:extLst>
              <a:ext uri="{FF2B5EF4-FFF2-40B4-BE49-F238E27FC236}">
                <a16:creationId xmlns:a16="http://schemas.microsoft.com/office/drawing/2014/main" xmlns="" id="{00000000-0008-0000-0C00-000034000000}"/>
              </a:ext>
            </a:extLst>
          </xdr:cNvPr>
          <xdr:cNvPicPr>
            <a:picLocks noChangeAspect="1" noChangeArrowheads="1"/>
          </xdr:cNvPicPr>
        </xdr:nvPicPr>
        <xdr:blipFill>
          <a:blip xmlns:r="http://schemas.openxmlformats.org/officeDocument/2006/relationships" r:embed="rId28">
            <a:extLst>
              <a:ext uri="{BEBA8EAE-BF5A-486C-A8C5-ECC9F3942E4B}">
                <a14:imgProps xmlns:a14="http://schemas.microsoft.com/office/drawing/2010/main">
                  <a14:imgLayer r:embed="rId29">
                    <a14:imgEffect>
                      <a14:backgroundRemoval t="9836" b="96721" l="9901" r="89109">
                        <a14:foregroundMark x1="27723" y1="16393" x2="14851" y2="47541"/>
                        <a14:foregroundMark x1="14851" y1="47541" x2="16832" y2="58197"/>
                        <a14:foregroundMark x1="50495" y1="93443" x2="50495" y2="96721"/>
                        <a14:foregroundMark x1="53465" y1="21311" x2="57426" y2="91803"/>
                        <a14:foregroundMark x1="70297" y1="28689" x2="24752" y2="23770"/>
                        <a14:foregroundMark x1="24752" y1="23770" x2="86139" y2="40984"/>
                        <a14:foregroundMark x1="86139" y1="40984" x2="53465" y2="64754"/>
                        <a14:foregroundMark x1="53465" y1="64754" x2="47525" y2="32787"/>
                        <a14:foregroundMark x1="47525" y1="32787" x2="51485" y2="31967"/>
                      </a14:backgroundRemoval>
                    </a14:imgEffect>
                  </a14:imgLayer>
                </a14:imgProps>
              </a:ext>
              <a:ext uri="{28A0092B-C50C-407E-A947-70E740481C1C}">
                <a14:useLocalDpi xmlns:a14="http://schemas.microsoft.com/office/drawing/2010/main"/>
              </a:ext>
            </a:extLst>
          </a:blip>
          <a:srcRect/>
          <a:stretch>
            <a:fillRect/>
          </a:stretch>
        </xdr:blipFill>
        <xdr:spPr bwMode="auto">
          <a:xfrm rot="20181458">
            <a:off x="11411282" y="3065586"/>
            <a:ext cx="926914" cy="114945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pic>
        <xdr:nvPicPr>
          <xdr:cNvPr id="53" name="Picture 4">
            <a:extLst>
              <a:ext uri="{FF2B5EF4-FFF2-40B4-BE49-F238E27FC236}">
                <a16:creationId xmlns:a16="http://schemas.microsoft.com/office/drawing/2014/main" xmlns="" id="{00000000-0008-0000-0C00-000035000000}"/>
              </a:ext>
            </a:extLst>
          </xdr:cNvPr>
          <xdr:cNvPicPr>
            <a:picLocks noChangeAspect="1" noChangeArrowheads="1"/>
          </xdr:cNvPicPr>
        </xdr:nvPicPr>
        <xdr:blipFill>
          <a:blip xmlns:r="http://schemas.openxmlformats.org/officeDocument/2006/relationships" r:embed="rId30">
            <a:extLst>
              <a:ext uri="{BEBA8EAE-BF5A-486C-A8C5-ECC9F3942E4B}">
                <a14:imgProps xmlns:a14="http://schemas.microsoft.com/office/drawing/2010/main">
                  <a14:imgLayer r:embed="rId13">
                    <a14:imgEffect>
                      <a14:backgroundRemoval t="8871" b="93548" l="9804" r="90196">
                        <a14:foregroundMark x1="47059" y1="12903" x2="91176" y2="16935"/>
                        <a14:foregroundMark x1="91176" y1="16935" x2="88235" y2="54839"/>
                        <a14:foregroundMark x1="88235" y1="54839" x2="87255" y2="57258"/>
                        <a14:foregroundMark x1="51961" y1="88710" x2="51961" y2="93548"/>
                      </a14:backgroundRemoval>
                    </a14:imgEffect>
                  </a14:imgLayer>
                </a14:imgProps>
              </a:ext>
              <a:ext uri="{28A0092B-C50C-407E-A947-70E740481C1C}">
                <a14:useLocalDpi xmlns:a14="http://schemas.microsoft.com/office/drawing/2010/main"/>
              </a:ext>
            </a:extLst>
          </a:blip>
          <a:srcRect/>
          <a:stretch>
            <a:fillRect/>
          </a:stretch>
        </xdr:blipFill>
        <xdr:spPr bwMode="auto">
          <a:xfrm rot="21552620">
            <a:off x="11881779" y="3050754"/>
            <a:ext cx="947407" cy="11518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grpSp>
        <xdr:nvGrpSpPr>
          <xdr:cNvPr id="54" name="Группа 53">
            <a:extLst>
              <a:ext uri="{FF2B5EF4-FFF2-40B4-BE49-F238E27FC236}">
                <a16:creationId xmlns:a16="http://schemas.microsoft.com/office/drawing/2014/main" xmlns="" id="{00000000-0008-0000-0C00-000036000000}"/>
              </a:ext>
            </a:extLst>
          </xdr:cNvPr>
          <xdr:cNvGrpSpPr/>
        </xdr:nvGrpSpPr>
        <xdr:grpSpPr>
          <a:xfrm rot="973284">
            <a:off x="12370066" y="3161440"/>
            <a:ext cx="940431" cy="1230136"/>
            <a:chOff x="1493451" y="1609581"/>
            <a:chExt cx="655273" cy="783758"/>
          </a:xfrm>
        </xdr:grpSpPr>
        <xdr:sp macro="" textlink="">
          <xdr:nvSpPr>
            <xdr:cNvPr id="56" name="Прямоугольник 55">
              <a:extLst>
                <a:ext uri="{FF2B5EF4-FFF2-40B4-BE49-F238E27FC236}">
                  <a16:creationId xmlns:a16="http://schemas.microsoft.com/office/drawing/2014/main" xmlns="" id="{00000000-0008-0000-0C00-000038000000}"/>
                </a:ext>
              </a:extLst>
            </xdr:cNvPr>
            <xdr:cNvSpPr/>
          </xdr:nvSpPr>
          <xdr:spPr>
            <a:xfrm>
              <a:off x="1574297" y="1706935"/>
              <a:ext cx="494199" cy="459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ru-RU"/>
              </a:defPPr>
              <a:lvl1pPr marL="0" algn="l" defTabSz="816221" rtl="0" eaLnBrk="1" latinLnBrk="0" hangingPunct="1">
                <a:defRPr sz="1600" kern="1200">
                  <a:solidFill>
                    <a:schemeClr val="lt1"/>
                  </a:solidFill>
                  <a:latin typeface="+mn-lt"/>
                  <a:ea typeface="+mn-ea"/>
                  <a:cs typeface="+mn-cs"/>
                </a:defRPr>
              </a:lvl1pPr>
              <a:lvl2pPr marL="408111" algn="l" defTabSz="816221" rtl="0" eaLnBrk="1" latinLnBrk="0" hangingPunct="1">
                <a:defRPr sz="1600" kern="1200">
                  <a:solidFill>
                    <a:schemeClr val="lt1"/>
                  </a:solidFill>
                  <a:latin typeface="+mn-lt"/>
                  <a:ea typeface="+mn-ea"/>
                  <a:cs typeface="+mn-cs"/>
                </a:defRPr>
              </a:lvl2pPr>
              <a:lvl3pPr marL="816221" algn="l" defTabSz="816221" rtl="0" eaLnBrk="1" latinLnBrk="0" hangingPunct="1">
                <a:defRPr sz="1600" kern="1200">
                  <a:solidFill>
                    <a:schemeClr val="lt1"/>
                  </a:solidFill>
                  <a:latin typeface="+mn-lt"/>
                  <a:ea typeface="+mn-ea"/>
                  <a:cs typeface="+mn-cs"/>
                </a:defRPr>
              </a:lvl3pPr>
              <a:lvl4pPr marL="1224332" algn="l" defTabSz="816221" rtl="0" eaLnBrk="1" latinLnBrk="0" hangingPunct="1">
                <a:defRPr sz="1600" kern="1200">
                  <a:solidFill>
                    <a:schemeClr val="lt1"/>
                  </a:solidFill>
                  <a:latin typeface="+mn-lt"/>
                  <a:ea typeface="+mn-ea"/>
                  <a:cs typeface="+mn-cs"/>
                </a:defRPr>
              </a:lvl4pPr>
              <a:lvl5pPr marL="1632436" algn="l" defTabSz="816221" rtl="0" eaLnBrk="1" latinLnBrk="0" hangingPunct="1">
                <a:defRPr sz="1600" kern="1200">
                  <a:solidFill>
                    <a:schemeClr val="lt1"/>
                  </a:solidFill>
                  <a:latin typeface="+mn-lt"/>
                  <a:ea typeface="+mn-ea"/>
                  <a:cs typeface="+mn-cs"/>
                </a:defRPr>
              </a:lvl5pPr>
              <a:lvl6pPr marL="2040547" algn="l" defTabSz="816221" rtl="0" eaLnBrk="1" latinLnBrk="0" hangingPunct="1">
                <a:defRPr sz="1600" kern="1200">
                  <a:solidFill>
                    <a:schemeClr val="lt1"/>
                  </a:solidFill>
                  <a:latin typeface="+mn-lt"/>
                  <a:ea typeface="+mn-ea"/>
                  <a:cs typeface="+mn-cs"/>
                </a:defRPr>
              </a:lvl6pPr>
              <a:lvl7pPr marL="2448658" algn="l" defTabSz="816221" rtl="0" eaLnBrk="1" latinLnBrk="0" hangingPunct="1">
                <a:defRPr sz="1600" kern="1200">
                  <a:solidFill>
                    <a:schemeClr val="lt1"/>
                  </a:solidFill>
                  <a:latin typeface="+mn-lt"/>
                  <a:ea typeface="+mn-ea"/>
                  <a:cs typeface="+mn-cs"/>
                </a:defRPr>
              </a:lvl7pPr>
              <a:lvl8pPr marL="2856768" algn="l" defTabSz="816221" rtl="0" eaLnBrk="1" latinLnBrk="0" hangingPunct="1">
                <a:defRPr sz="1600" kern="1200">
                  <a:solidFill>
                    <a:schemeClr val="lt1"/>
                  </a:solidFill>
                  <a:latin typeface="+mn-lt"/>
                  <a:ea typeface="+mn-ea"/>
                  <a:cs typeface="+mn-cs"/>
                </a:defRPr>
              </a:lvl8pPr>
              <a:lvl9pPr marL="3264878" algn="l" defTabSz="816221" rtl="0" eaLnBrk="1" latinLnBrk="0" hangingPunct="1">
                <a:defRPr sz="1600" kern="1200">
                  <a:solidFill>
                    <a:schemeClr val="lt1"/>
                  </a:solidFill>
                  <a:latin typeface="+mn-lt"/>
                  <a:ea typeface="+mn-ea"/>
                  <a:cs typeface="+mn-cs"/>
                </a:defRPr>
              </a:lvl9pPr>
            </a:lstStyle>
            <a:p>
              <a:pPr marL="0" marR="0" lvl="0" indent="0" algn="ctr" defTabSz="816221" rtl="0" eaLnBrk="1" fontAlgn="auto" latinLnBrk="0" hangingPunct="1">
                <a:lnSpc>
                  <a:spcPct val="100000"/>
                </a:lnSpc>
                <a:spcBef>
                  <a:spcPts val="0"/>
                </a:spcBef>
                <a:spcAft>
                  <a:spcPts val="0"/>
                </a:spcAft>
                <a:buClrTx/>
                <a:buSzTx/>
                <a:buFontTx/>
                <a:buNone/>
                <a:tabLst/>
                <a:defRPr/>
              </a:pPr>
              <a:endParaRPr kumimoji="0" lang="ru-RU" sz="1600" b="0" i="0" u="none" strike="noStrike" kern="1200" cap="none" spc="0" normalizeH="0" baseline="0">
                <a:ln>
                  <a:noFill/>
                </a:ln>
                <a:solidFill>
                  <a:prstClr val="white"/>
                </a:solidFill>
                <a:effectLst/>
                <a:uLnTx/>
                <a:uFillTx/>
                <a:latin typeface="Calibri"/>
                <a:ea typeface="+mn-ea"/>
                <a:cs typeface="+mn-cs"/>
              </a:endParaRPr>
            </a:p>
          </xdr:txBody>
        </xdr:sp>
        <xdr:pic>
          <xdr:nvPicPr>
            <xdr:cNvPr id="57" name="Picture 2">
              <a:extLst>
                <a:ext uri="{FF2B5EF4-FFF2-40B4-BE49-F238E27FC236}">
                  <a16:creationId xmlns:a16="http://schemas.microsoft.com/office/drawing/2014/main" xmlns="" id="{00000000-0008-0000-0C00-000039000000}"/>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1493451" y="1609581"/>
              <a:ext cx="655273" cy="78375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grpSp>
      <xdr:pic>
        <xdr:nvPicPr>
          <xdr:cNvPr id="55" name="Рисунок 54">
            <a:extLst>
              <a:ext uri="{FF2B5EF4-FFF2-40B4-BE49-F238E27FC236}">
                <a16:creationId xmlns:a16="http://schemas.microsoft.com/office/drawing/2014/main" xmlns="" id="{00000000-0008-0000-0C00-000037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rot="1832443">
            <a:off x="12932420" y="3468943"/>
            <a:ext cx="859742" cy="1100468"/>
          </a:xfrm>
          <a:prstGeom prst="rect">
            <a:avLst/>
          </a:prstGeom>
        </xdr:spPr>
      </xdr:pic>
    </xdr:grpSp>
    <xdr:clientData/>
  </xdr:twoCellAnchor>
  <xdr:twoCellAnchor>
    <xdr:from>
      <xdr:col>1</xdr:col>
      <xdr:colOff>1656445</xdr:colOff>
      <xdr:row>22</xdr:row>
      <xdr:rowOff>40596</xdr:rowOff>
    </xdr:from>
    <xdr:to>
      <xdr:col>4</xdr:col>
      <xdr:colOff>11207</xdr:colOff>
      <xdr:row>26</xdr:row>
      <xdr:rowOff>140509</xdr:rowOff>
    </xdr:to>
    <xdr:sp macro="" textlink="">
      <xdr:nvSpPr>
        <xdr:cNvPr id="58" name="TextBox 57">
          <a:extLst>
            <a:ext uri="{FF2B5EF4-FFF2-40B4-BE49-F238E27FC236}">
              <a16:creationId xmlns:a16="http://schemas.microsoft.com/office/drawing/2014/main" xmlns="" id="{00000000-0008-0000-0C00-00003A000000}"/>
            </a:ext>
          </a:extLst>
        </xdr:cNvPr>
        <xdr:cNvSpPr txBox="1"/>
      </xdr:nvSpPr>
      <xdr:spPr>
        <a:xfrm>
          <a:off x="1218295" y="4231596"/>
          <a:ext cx="1231312" cy="861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ru-RU" sz="1100" b="1">
              <a:solidFill>
                <a:schemeClr val="dk1"/>
              </a:solidFill>
              <a:effectLst/>
              <a:latin typeface="+mn-lt"/>
              <a:ea typeface="+mn-ea"/>
              <a:cs typeface="+mn-cs"/>
            </a:rPr>
            <a:t>Централизованное управление </a:t>
          </a:r>
        </a:p>
        <a:p>
          <a:pPr rtl="0" eaLnBrk="1" latinLnBrk="0" hangingPunct="1"/>
          <a:r>
            <a:rPr lang="ru-RU" sz="1100" b="1">
              <a:solidFill>
                <a:schemeClr val="dk1"/>
              </a:solidFill>
              <a:effectLst/>
              <a:latin typeface="+mn-lt"/>
              <a:ea typeface="+mn-ea"/>
              <a:cs typeface="+mn-cs"/>
            </a:rPr>
            <a:t>продуктовой линейкой Dallas Lock</a:t>
          </a:r>
          <a:endParaRPr lang="ru-RU" b="1">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ru-RU" sz="1100" b="1" i="0" cap="all">
              <a:solidFill>
                <a:schemeClr val="dk1"/>
              </a:solidFill>
              <a:effectLst/>
              <a:latin typeface="+mn-lt"/>
              <a:ea typeface="+mn-ea"/>
              <a:cs typeface="+mn-cs"/>
            </a:rPr>
            <a:t/>
          </a:r>
          <a:br>
            <a:rPr lang="ru-RU" sz="1100" b="1" i="0" cap="all">
              <a:solidFill>
                <a:schemeClr val="dk1"/>
              </a:solidFill>
              <a:effectLst/>
              <a:latin typeface="+mn-lt"/>
              <a:ea typeface="+mn-ea"/>
              <a:cs typeface="+mn-cs"/>
            </a:rPr>
          </a:br>
          <a:endParaRPr lang="ru-RU" b="1">
            <a:effectLst/>
          </a:endParaRPr>
        </a:p>
      </xdr:txBody>
    </xdr:sp>
    <xdr:clientData/>
  </xdr:twoCellAnchor>
  <xdr:twoCellAnchor>
    <xdr:from>
      <xdr:col>5</xdr:col>
      <xdr:colOff>569522</xdr:colOff>
      <xdr:row>22</xdr:row>
      <xdr:rowOff>34701</xdr:rowOff>
    </xdr:from>
    <xdr:to>
      <xdr:col>10</xdr:col>
      <xdr:colOff>571498</xdr:colOff>
      <xdr:row>25</xdr:row>
      <xdr:rowOff>72414</xdr:rowOff>
    </xdr:to>
    <xdr:sp macro="" textlink="">
      <xdr:nvSpPr>
        <xdr:cNvPr id="59" name="TextBox 58">
          <a:extLst>
            <a:ext uri="{FF2B5EF4-FFF2-40B4-BE49-F238E27FC236}">
              <a16:creationId xmlns:a16="http://schemas.microsoft.com/office/drawing/2014/main" xmlns="" id="{00000000-0008-0000-0C00-00003B000000}"/>
            </a:ext>
          </a:extLst>
        </xdr:cNvPr>
        <xdr:cNvSpPr txBox="1"/>
      </xdr:nvSpPr>
      <xdr:spPr>
        <a:xfrm>
          <a:off x="3617522" y="4225701"/>
          <a:ext cx="3049976" cy="6092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ru-RU" sz="1100" b="1">
              <a:solidFill>
                <a:schemeClr val="dk1"/>
              </a:solidFill>
              <a:effectLst/>
              <a:latin typeface="+mn-lt"/>
              <a:ea typeface="+mn-ea"/>
              <a:cs typeface="+mn-cs"/>
            </a:rPr>
            <a:t>Удаленное управление компьютерами без установленных СЗИ. Осуществляется с помощью Агента ЕЦУ</a:t>
          </a:r>
          <a:endParaRPr lang="ru-RU" b="1">
            <a:effectLst/>
          </a:endParaRPr>
        </a:p>
      </xdr:txBody>
    </xdr:sp>
    <xdr:clientData/>
  </xdr:twoCellAnchor>
  <xdr:oneCellAnchor>
    <xdr:from>
      <xdr:col>5</xdr:col>
      <xdr:colOff>67930</xdr:colOff>
      <xdr:row>22</xdr:row>
      <xdr:rowOff>71979</xdr:rowOff>
    </xdr:from>
    <xdr:ext cx="574833" cy="553922"/>
    <xdr:pic>
      <xdr:nvPicPr>
        <xdr:cNvPr id="60" name="Рисунок 59">
          <a:extLst>
            <a:ext uri="{FF2B5EF4-FFF2-40B4-BE49-F238E27FC236}">
              <a16:creationId xmlns:a16="http://schemas.microsoft.com/office/drawing/2014/main" xmlns="" id="{00000000-0008-0000-0C00-00003C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115930" y="4262979"/>
          <a:ext cx="574833" cy="553922"/>
        </a:xfrm>
        <a:prstGeom prst="rect">
          <a:avLst/>
        </a:prstGeom>
      </xdr:spPr>
    </xdr:pic>
    <xdr:clientData/>
  </xdr:oneCellAnchor>
  <xdr:twoCellAnchor>
    <xdr:from>
      <xdr:col>12</xdr:col>
      <xdr:colOff>59265</xdr:colOff>
      <xdr:row>22</xdr:row>
      <xdr:rowOff>42083</xdr:rowOff>
    </xdr:from>
    <xdr:to>
      <xdr:col>16</xdr:col>
      <xdr:colOff>161564</xdr:colOff>
      <xdr:row>25</xdr:row>
      <xdr:rowOff>78663</xdr:rowOff>
    </xdr:to>
    <xdr:sp macro="" textlink="">
      <xdr:nvSpPr>
        <xdr:cNvPr id="61" name="TextBox 60">
          <a:extLst>
            <a:ext uri="{FF2B5EF4-FFF2-40B4-BE49-F238E27FC236}">
              <a16:creationId xmlns:a16="http://schemas.microsoft.com/office/drawing/2014/main" xmlns="" id="{00000000-0008-0000-0C00-00003D000000}"/>
            </a:ext>
          </a:extLst>
        </xdr:cNvPr>
        <xdr:cNvSpPr txBox="1"/>
      </xdr:nvSpPr>
      <xdr:spPr>
        <a:xfrm>
          <a:off x="7374465" y="4233083"/>
          <a:ext cx="2540699" cy="608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ru-RU" sz="1100" b="1">
              <a:solidFill>
                <a:schemeClr val="dk1"/>
              </a:solidFill>
              <a:effectLst/>
              <a:latin typeface="+mn-lt"/>
              <a:ea typeface="+mn-ea"/>
              <a:cs typeface="+mn-cs"/>
            </a:rPr>
            <a:t>Контроль и управление сетевым оборудованием</a:t>
          </a:r>
          <a:endParaRPr lang="ru-RU" b="1">
            <a:effectLst/>
          </a:endParaRPr>
        </a:p>
      </xdr:txBody>
    </xdr:sp>
    <xdr:clientData/>
  </xdr:twoCellAnchor>
  <xdr:oneCellAnchor>
    <xdr:from>
      <xdr:col>10</xdr:col>
      <xdr:colOff>504101</xdr:colOff>
      <xdr:row>22</xdr:row>
      <xdr:rowOff>59663</xdr:rowOff>
    </xdr:from>
    <xdr:ext cx="891938" cy="565897"/>
    <xdr:pic>
      <xdr:nvPicPr>
        <xdr:cNvPr id="62" name="Picture 6" descr="Компьютерная сеть Глобальная сеть Компьютерные иконки Компьютерное  программирование Сетевое оборудование, значок iot, синий, компьютерная сеть  png | PNGEgg">
          <a:extLst>
            <a:ext uri="{FF2B5EF4-FFF2-40B4-BE49-F238E27FC236}">
              <a16:creationId xmlns:a16="http://schemas.microsoft.com/office/drawing/2014/main" xmlns="" id="{00000000-0008-0000-0C00-00003E000000}"/>
            </a:ext>
          </a:extLst>
        </xdr:cNvPr>
        <xdr:cNvPicPr>
          <a:picLocks noChangeAspect="1" noChangeArrowheads="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backgroundRemoval t="1333" b="99667" l="10000" r="90000">
                      <a14:foregroundMark x1="47778" y1="5667" x2="54667" y2="6333"/>
                      <a14:foregroundMark x1="66444" y1="24333" x2="51333" y2="45333"/>
                      <a14:foregroundMark x1="51333" y1="45333" x2="47778" y2="56333"/>
                      <a14:foregroundMark x1="47778" y1="56333" x2="47556" y2="60667"/>
                      <a14:foregroundMark x1="41556" y1="31667" x2="34667" y2="44167"/>
                      <a14:foregroundMark x1="34667" y1="44167" x2="31000" y2="56167"/>
                      <a14:foregroundMark x1="31000" y1="56167" x2="41556" y2="66000"/>
                      <a14:foregroundMark x1="41556" y1="66000" x2="59000" y2="60833"/>
                      <a14:foregroundMark x1="59000" y1="60833" x2="47556" y2="69167"/>
                      <a14:foregroundMark x1="47556" y1="69167" x2="46111" y2="80000"/>
                      <a14:foregroundMark x1="46111" y1="80000" x2="44444" y2="81000"/>
                      <a14:foregroundMark x1="37778" y1="88333" x2="54667" y2="93000"/>
                      <a14:foregroundMark x1="64000" y1="27667" x2="64222" y2="33000"/>
                      <a14:foregroundMark x1="62444" y1="22000" x2="67556" y2="36500"/>
                      <a14:foregroundMark x1="67556" y1="36500" x2="70444" y2="40333"/>
                      <a14:foregroundMark x1="39556" y1="30000" x2="62222" y2="65667"/>
                      <a14:foregroundMark x1="32000" y1="73000" x2="61333" y2="50333"/>
                      <a14:foregroundMark x1="61333" y1="50333" x2="62000" y2="49333"/>
                      <a14:foregroundMark x1="46889" y1="75667" x2="50444" y2="67833"/>
                      <a14:foregroundMark x1="50444" y1="67833" x2="51778" y2="66667"/>
                      <a14:foregroundMark x1="53333" y1="62667" x2="54333" y2="74000"/>
                      <a14:foregroundMark x1="54333" y1="74000" x2="52889" y2="77000"/>
                      <a14:foregroundMark x1="47778" y1="45000" x2="47778" y2="60000"/>
                      <a14:foregroundMark x1="41111" y1="58667" x2="42889" y2="63667"/>
                      <a14:foregroundMark x1="29111" y1="64667" x2="34000" y2="70500"/>
                      <a14:foregroundMark x1="34000" y1="70500" x2="39333" y2="71333"/>
                      <a14:foregroundMark x1="48000" y1="96667" x2="49778" y2="99667"/>
                      <a14:foregroundMark x1="48222" y1="1333" x2="49111" y2="1333"/>
                    </a14:backgroundRemoval>
                  </a14:imgEffect>
                </a14:imgLayer>
              </a14:imgProps>
            </a:ext>
            <a:ext uri="{28A0092B-C50C-407E-A947-70E740481C1C}">
              <a14:useLocalDpi xmlns:a14="http://schemas.microsoft.com/office/drawing/2010/main" val="0"/>
            </a:ext>
          </a:extLst>
        </a:blip>
        <a:srcRect/>
        <a:stretch>
          <a:fillRect/>
        </a:stretch>
      </xdr:blipFill>
      <xdr:spPr bwMode="auto">
        <a:xfrm>
          <a:off x="6600101" y="4250663"/>
          <a:ext cx="891938" cy="5658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67878</xdr:colOff>
      <xdr:row>31</xdr:row>
      <xdr:rowOff>20864</xdr:rowOff>
    </xdr:from>
    <xdr:to>
      <xdr:col>12</xdr:col>
      <xdr:colOff>459440</xdr:colOff>
      <xdr:row>35</xdr:row>
      <xdr:rowOff>102261</xdr:rowOff>
    </xdr:to>
    <xdr:sp macro="" textlink="">
      <xdr:nvSpPr>
        <xdr:cNvPr id="63" name="TextBox 62">
          <a:extLst>
            <a:ext uri="{FF2B5EF4-FFF2-40B4-BE49-F238E27FC236}">
              <a16:creationId xmlns:a16="http://schemas.microsoft.com/office/drawing/2014/main" xmlns="" id="{00000000-0008-0000-0C00-00003F000000}"/>
            </a:ext>
          </a:extLst>
        </xdr:cNvPr>
        <xdr:cNvSpPr txBox="1"/>
      </xdr:nvSpPr>
      <xdr:spPr>
        <a:xfrm>
          <a:off x="4944678" y="5926364"/>
          <a:ext cx="2829962" cy="8433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eaLnBrk="1" latinLnBrk="0" hangingPunct="1"/>
          <a:r>
            <a:rPr lang="ru-RU" sz="1100" b="1">
              <a:solidFill>
                <a:schemeClr val="dk1"/>
              </a:solidFill>
              <a:effectLst/>
              <a:latin typeface="+mn-lt"/>
              <a:ea typeface="+mn-ea"/>
              <a:cs typeface="+mn-cs"/>
            </a:rPr>
            <a:t>Интеграция со сторонними продуктами</a:t>
          </a:r>
          <a:r>
            <a:rPr lang="en-US" sz="1100" b="1">
              <a:solidFill>
                <a:schemeClr val="dk1"/>
              </a:solidFill>
              <a:effectLst/>
              <a:latin typeface="+mn-lt"/>
              <a:ea typeface="+mn-ea"/>
              <a:cs typeface="+mn-cs"/>
            </a:rPr>
            <a:t>:</a:t>
          </a:r>
          <a:endParaRPr lang="ru-RU" b="1">
            <a:effectLst/>
          </a:endParaRPr>
        </a:p>
        <a:p>
          <a:pPr algn="ctr" rtl="0" eaLnBrk="1" latinLnBrk="0" hangingPunct="1"/>
          <a:r>
            <a:rPr lang="en-US" sz="1100" b="1" i="0" baseline="0">
              <a:solidFill>
                <a:schemeClr val="dk1"/>
              </a:solidFill>
              <a:effectLst/>
              <a:latin typeface="+mn-lt"/>
              <a:ea typeface="+mn-ea"/>
              <a:cs typeface="+mn-cs"/>
            </a:rPr>
            <a:t> </a:t>
          </a:r>
          <a:r>
            <a:rPr lang="ru-RU" sz="1100" b="1">
              <a:solidFill>
                <a:schemeClr val="dk1"/>
              </a:solidFill>
              <a:effectLst/>
              <a:latin typeface="+mn-lt"/>
              <a:ea typeface="+mn-ea"/>
              <a:cs typeface="+mn-cs"/>
            </a:rPr>
            <a:t>Антивирус Kaspersky</a:t>
          </a:r>
          <a:endParaRPr lang="ru-RU" b="1">
            <a:effectLst/>
          </a:endParaRPr>
        </a:p>
        <a:p>
          <a:pPr algn="ctr" rtl="0" eaLnBrk="1" latinLnBrk="0" hangingPunct="1"/>
          <a:r>
            <a:rPr lang="en-US" sz="1100" b="1" i="0" baseline="0">
              <a:solidFill>
                <a:schemeClr val="dk1"/>
              </a:solidFill>
              <a:effectLst/>
              <a:latin typeface="+mn-lt"/>
              <a:ea typeface="+mn-ea"/>
              <a:cs typeface="+mn-cs"/>
            </a:rPr>
            <a:t> </a:t>
          </a:r>
          <a:r>
            <a:rPr lang="ru-RU" sz="1100" b="1">
              <a:solidFill>
                <a:schemeClr val="dk1"/>
              </a:solidFill>
              <a:effectLst/>
              <a:latin typeface="+mn-lt"/>
              <a:ea typeface="+mn-ea"/>
              <a:cs typeface="+mn-cs"/>
            </a:rPr>
            <a:t>SIEM-системы</a:t>
          </a:r>
          <a:endParaRPr lang="ru-RU" b="1">
            <a:effectLst/>
          </a:endParaRPr>
        </a:p>
        <a:p>
          <a:pPr algn="ctr"/>
          <a:r>
            <a:rPr lang="en-US" sz="1100" b="1" i="0" baseline="0">
              <a:solidFill>
                <a:schemeClr val="dk1"/>
              </a:solidFill>
              <a:effectLst/>
              <a:latin typeface="+mn-lt"/>
              <a:ea typeface="+mn-ea"/>
              <a:cs typeface="+mn-cs"/>
            </a:rPr>
            <a:t> </a:t>
          </a:r>
          <a:r>
            <a:rPr lang="ru-RU" sz="1100" b="1">
              <a:solidFill>
                <a:schemeClr val="dk1"/>
              </a:solidFill>
              <a:effectLst/>
              <a:latin typeface="+mn-lt"/>
              <a:ea typeface="+mn-ea"/>
              <a:cs typeface="+mn-cs"/>
            </a:rPr>
            <a:t>Службы каталогов</a:t>
          </a:r>
          <a:endParaRPr lang="ru-RU" b="1">
            <a:effectLst/>
          </a:endParaRPr>
        </a:p>
      </xdr:txBody>
    </xdr:sp>
    <xdr:clientData/>
  </xdr:twoCellAnchor>
  <xdr:twoCellAnchor>
    <xdr:from>
      <xdr:col>9</xdr:col>
      <xdr:colOff>65783</xdr:colOff>
      <xdr:row>27</xdr:row>
      <xdr:rowOff>156908</xdr:rowOff>
    </xdr:from>
    <xdr:to>
      <xdr:col>11</xdr:col>
      <xdr:colOff>353727</xdr:colOff>
      <xdr:row>31</xdr:row>
      <xdr:rowOff>45201</xdr:rowOff>
    </xdr:to>
    <xdr:grpSp>
      <xdr:nvGrpSpPr>
        <xdr:cNvPr id="64" name="Группа 63">
          <a:extLst>
            <a:ext uri="{FF2B5EF4-FFF2-40B4-BE49-F238E27FC236}">
              <a16:creationId xmlns:a16="http://schemas.microsoft.com/office/drawing/2014/main" xmlns="" id="{00000000-0008-0000-0C00-000040000000}"/>
            </a:ext>
          </a:extLst>
        </xdr:cNvPr>
        <xdr:cNvGrpSpPr/>
      </xdr:nvGrpSpPr>
      <xdr:grpSpPr>
        <a:xfrm>
          <a:off x="6774104" y="34691837"/>
          <a:ext cx="1512587" cy="650293"/>
          <a:chOff x="11395315" y="10041418"/>
          <a:chExt cx="3859003" cy="1572129"/>
        </a:xfrm>
      </xdr:grpSpPr>
      <xdr:pic>
        <xdr:nvPicPr>
          <xdr:cNvPr id="65" name="Picture 8" descr="Kaspersky TOTAL Security Plus для бизнеса купить по доступным ценам в  Москве с доставкой по РФ">
            <a:extLst>
              <a:ext uri="{FF2B5EF4-FFF2-40B4-BE49-F238E27FC236}">
                <a16:creationId xmlns:a16="http://schemas.microsoft.com/office/drawing/2014/main" xmlns="" id="{00000000-0008-0000-0C00-000041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4009015" y="10041418"/>
            <a:ext cx="903822" cy="100504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6" name="Рисунок 65">
            <a:extLst>
              <a:ext uri="{FF2B5EF4-FFF2-40B4-BE49-F238E27FC236}">
                <a16:creationId xmlns:a16="http://schemas.microsoft.com/office/drawing/2014/main" xmlns="" id="{00000000-0008-0000-0C00-000042000000}"/>
              </a:ext>
            </a:extLst>
          </xdr:cNvPr>
          <xdr:cNvPicPr>
            <a:picLocks noChangeAspect="1"/>
          </xdr:cNvPicPr>
        </xdr:nvPicPr>
        <xdr:blipFill>
          <a:blip xmlns:r="http://schemas.openxmlformats.org/officeDocument/2006/relationships" r:embed="rId36"/>
          <a:stretch>
            <a:fillRect/>
          </a:stretch>
        </xdr:blipFill>
        <xdr:spPr>
          <a:xfrm>
            <a:off x="11925246" y="10205959"/>
            <a:ext cx="1783750" cy="472167"/>
          </a:xfrm>
          <a:prstGeom prst="rect">
            <a:avLst/>
          </a:prstGeom>
        </xdr:spPr>
      </xdr:pic>
      <xdr:pic>
        <xdr:nvPicPr>
          <xdr:cNvPr id="67" name="Рисунок 66">
            <a:extLst>
              <a:ext uri="{FF2B5EF4-FFF2-40B4-BE49-F238E27FC236}">
                <a16:creationId xmlns:a16="http://schemas.microsoft.com/office/drawing/2014/main" xmlns="" id="{00000000-0008-0000-0C00-000043000000}"/>
              </a:ext>
            </a:extLst>
          </xdr:cNvPr>
          <xdr:cNvPicPr>
            <a:picLocks noChangeAspect="1"/>
          </xdr:cNvPicPr>
        </xdr:nvPicPr>
        <xdr:blipFill rotWithShape="1">
          <a:blip xmlns:r="http://schemas.openxmlformats.org/officeDocument/2006/relationships" r:embed="rId37"/>
          <a:srcRect l="-1" t="28518" r="-1944" b="33865"/>
          <a:stretch/>
        </xdr:blipFill>
        <xdr:spPr>
          <a:xfrm>
            <a:off x="11395315" y="10878036"/>
            <a:ext cx="1959063" cy="712266"/>
          </a:xfrm>
          <a:prstGeom prst="rect">
            <a:avLst/>
          </a:prstGeom>
        </xdr:spPr>
      </xdr:pic>
      <xdr:pic>
        <xdr:nvPicPr>
          <xdr:cNvPr id="68" name="Рисунок 67">
            <a:extLst>
              <a:ext uri="{FF2B5EF4-FFF2-40B4-BE49-F238E27FC236}">
                <a16:creationId xmlns:a16="http://schemas.microsoft.com/office/drawing/2014/main" xmlns="" id="{00000000-0008-0000-0C00-000044000000}"/>
              </a:ext>
            </a:extLst>
          </xdr:cNvPr>
          <xdr:cNvPicPr>
            <a:picLocks noChangeAspect="1"/>
          </xdr:cNvPicPr>
        </xdr:nvPicPr>
        <xdr:blipFill rotWithShape="1">
          <a:blip xmlns:r="http://schemas.openxmlformats.org/officeDocument/2006/relationships" r:embed="rId38" cstate="print">
            <a:extLst>
              <a:ext uri="{BEBA8EAE-BF5A-486C-A8C5-ECC9F3942E4B}">
                <a14:imgProps xmlns:a14="http://schemas.microsoft.com/office/drawing/2010/main">
                  <a14:imgLayer r:embed="rId39">
                    <a14:imgEffect>
                      <a14:backgroundRemoval t="10000" b="90000" l="10000" r="90000">
                        <a14:foregroundMark x1="27250" y1="41333" x2="27250" y2="41333"/>
                        <a14:foregroundMark x1="14750" y1="63667" x2="14750" y2="63667"/>
                        <a14:foregroundMark x1="31250" y1="55667" x2="31250" y2="55667"/>
                        <a14:foregroundMark x1="35250" y1="54667" x2="35250" y2="54667"/>
                        <a14:foregroundMark x1="51000" y1="54667" x2="51000" y2="54667"/>
                        <a14:foregroundMark x1="58750" y1="55333" x2="58750" y2="55333"/>
                        <a14:foregroundMark x1="68500" y1="57333" x2="68500" y2="57333"/>
                        <a14:foregroundMark x1="78500" y1="54667" x2="78500" y2="54667"/>
                      </a14:backgroundRemoval>
                    </a14:imgEffect>
                  </a14:imgLayer>
                </a14:imgProps>
              </a:ext>
              <a:ext uri="{28A0092B-C50C-407E-A947-70E740481C1C}">
                <a14:useLocalDpi xmlns:a14="http://schemas.microsoft.com/office/drawing/2010/main" val="0"/>
              </a:ext>
            </a:extLst>
          </a:blip>
          <a:srcRect l="8421" t="31411" r="4880" b="27471"/>
          <a:stretch/>
        </xdr:blipFill>
        <xdr:spPr>
          <a:xfrm>
            <a:off x="13374182" y="10944792"/>
            <a:ext cx="1880136" cy="668755"/>
          </a:xfrm>
          <a:prstGeom prst="rect">
            <a:avLst/>
          </a:prstGeom>
        </xdr:spPr>
      </xdr:pic>
    </xdr:grpSp>
    <xdr:clientData/>
  </xdr:twoCellAnchor>
  <xdr:twoCellAnchor>
    <xdr:from>
      <xdr:col>18</xdr:col>
      <xdr:colOff>323636</xdr:colOff>
      <xdr:row>41</xdr:row>
      <xdr:rowOff>130996</xdr:rowOff>
    </xdr:from>
    <xdr:to>
      <xdr:col>28</xdr:col>
      <xdr:colOff>88187</xdr:colOff>
      <xdr:row>42</xdr:row>
      <xdr:rowOff>95959</xdr:rowOff>
    </xdr:to>
    <xdr:sp macro="" textlink="">
      <xdr:nvSpPr>
        <xdr:cNvPr id="69" name="Прямоугольник 68">
          <a:hlinkClick xmlns:r="http://schemas.openxmlformats.org/officeDocument/2006/relationships" r:id="rId8"/>
          <a:extLst>
            <a:ext uri="{FF2B5EF4-FFF2-40B4-BE49-F238E27FC236}">
              <a16:creationId xmlns:a16="http://schemas.microsoft.com/office/drawing/2014/main" xmlns="" id="{00000000-0008-0000-0C00-000045000000}"/>
            </a:ext>
          </a:extLst>
        </xdr:cNvPr>
        <xdr:cNvSpPr/>
      </xdr:nvSpPr>
      <xdr:spPr>
        <a:xfrm>
          <a:off x="11296436" y="7941496"/>
          <a:ext cx="5860551" cy="1554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oneCellAnchor>
    <xdr:from>
      <xdr:col>15</xdr:col>
      <xdr:colOff>341789</xdr:colOff>
      <xdr:row>14</xdr:row>
      <xdr:rowOff>207699</xdr:rowOff>
    </xdr:from>
    <xdr:ext cx="185759" cy="185759"/>
    <xdr:pic>
      <xdr:nvPicPr>
        <xdr:cNvPr id="70" name="Рисунок 69">
          <a:extLst>
            <a:ext uri="{FF2B5EF4-FFF2-40B4-BE49-F238E27FC236}">
              <a16:creationId xmlns:a16="http://schemas.microsoft.com/office/drawing/2014/main" xmlns="" id="{00000000-0008-0000-0C00-00004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85789" y="2855649"/>
          <a:ext cx="185759" cy="185759"/>
        </a:xfrm>
        <a:prstGeom prst="rect">
          <a:avLst/>
        </a:prstGeom>
      </xdr:spPr>
    </xdr:pic>
    <xdr:clientData/>
  </xdr:oneCellAnchor>
  <xdr:twoCellAnchor>
    <xdr:from>
      <xdr:col>17</xdr:col>
      <xdr:colOff>535112</xdr:colOff>
      <xdr:row>12</xdr:row>
      <xdr:rowOff>4505646</xdr:rowOff>
    </xdr:from>
    <xdr:to>
      <xdr:col>27</xdr:col>
      <xdr:colOff>299662</xdr:colOff>
      <xdr:row>12</xdr:row>
      <xdr:rowOff>4663249</xdr:rowOff>
    </xdr:to>
    <xdr:sp macro="" textlink="">
      <xdr:nvSpPr>
        <xdr:cNvPr id="71" name="Прямоугольник 70">
          <a:hlinkClick xmlns:r="http://schemas.openxmlformats.org/officeDocument/2006/relationships" r:id="rId8"/>
          <a:extLst>
            <a:ext uri="{FF2B5EF4-FFF2-40B4-BE49-F238E27FC236}">
              <a16:creationId xmlns:a16="http://schemas.microsoft.com/office/drawing/2014/main" xmlns="" id="{00000000-0008-0000-0C00-000047000000}"/>
            </a:ext>
          </a:extLst>
        </xdr:cNvPr>
        <xdr:cNvSpPr/>
      </xdr:nvSpPr>
      <xdr:spPr>
        <a:xfrm>
          <a:off x="10898312" y="2476821"/>
          <a:ext cx="5860550" cy="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oneCellAnchor>
    <xdr:from>
      <xdr:col>1</xdr:col>
      <xdr:colOff>1</xdr:colOff>
      <xdr:row>14</xdr:row>
      <xdr:rowOff>0</xdr:rowOff>
    </xdr:from>
    <xdr:ext cx="422090" cy="513708"/>
    <xdr:pic>
      <xdr:nvPicPr>
        <xdr:cNvPr id="72" name="Picture 2">
          <a:extLst>
            <a:ext uri="{FF2B5EF4-FFF2-40B4-BE49-F238E27FC236}">
              <a16:creationId xmlns:a16="http://schemas.microsoft.com/office/drawing/2014/main" xmlns="" id="{00000000-0008-0000-0C00-000048000000}"/>
            </a:ext>
          </a:extLst>
        </xdr:cNvPr>
        <xdr:cNvPicPr>
          <a:picLocks noChangeAspect="1" noChangeArrowheads="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1" y="2667000"/>
          <a:ext cx="422090" cy="51370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15</xdr:col>
      <xdr:colOff>311399</xdr:colOff>
      <xdr:row>11</xdr:row>
      <xdr:rowOff>210875</xdr:rowOff>
    </xdr:from>
    <xdr:ext cx="185759" cy="185759"/>
    <xdr:pic>
      <xdr:nvPicPr>
        <xdr:cNvPr id="73" name="Рисунок 72">
          <a:extLst>
            <a:ext uri="{FF2B5EF4-FFF2-40B4-BE49-F238E27FC236}">
              <a16:creationId xmlns:a16="http://schemas.microsoft.com/office/drawing/2014/main" xmlns="" id="{00000000-0008-0000-0C00-00004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55399" y="2287325"/>
          <a:ext cx="185759" cy="185759"/>
        </a:xfrm>
        <a:prstGeom prst="rect">
          <a:avLst/>
        </a:prstGeom>
      </xdr:spPr>
    </xdr:pic>
    <xdr:clientData/>
  </xdr:oneCellAnchor>
  <xdr:oneCellAnchor>
    <xdr:from>
      <xdr:col>1</xdr:col>
      <xdr:colOff>1</xdr:colOff>
      <xdr:row>11</xdr:row>
      <xdr:rowOff>0</xdr:rowOff>
    </xdr:from>
    <xdr:ext cx="422090" cy="513708"/>
    <xdr:pic>
      <xdr:nvPicPr>
        <xdr:cNvPr id="74" name="Picture 2">
          <a:extLst>
            <a:ext uri="{FF2B5EF4-FFF2-40B4-BE49-F238E27FC236}">
              <a16:creationId xmlns:a16="http://schemas.microsoft.com/office/drawing/2014/main" xmlns="" id="{00000000-0008-0000-0C00-00004A000000}"/>
            </a:ext>
          </a:extLst>
        </xdr:cNvPr>
        <xdr:cNvPicPr>
          <a:picLocks noChangeAspect="1" noChangeArrowheads="1"/>
        </xdr:cNvPicPr>
      </xdr:nvPicPr>
      <xdr:blipFill>
        <a:blip xmlns:r="http://schemas.openxmlformats.org/officeDocument/2006/relationships" r:embed="rId4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1" y="2095500"/>
          <a:ext cx="422090" cy="51370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xdr:from>
      <xdr:col>1</xdr:col>
      <xdr:colOff>703567</xdr:colOff>
      <xdr:row>12</xdr:row>
      <xdr:rowOff>790391</xdr:rowOff>
    </xdr:from>
    <xdr:to>
      <xdr:col>3</xdr:col>
      <xdr:colOff>139129</xdr:colOff>
      <xdr:row>12</xdr:row>
      <xdr:rowOff>1669046</xdr:rowOff>
    </xdr:to>
    <xdr:sp macro="" textlink="">
      <xdr:nvSpPr>
        <xdr:cNvPr id="75" name="TextBox 74">
          <a:extLst>
            <a:ext uri="{FF2B5EF4-FFF2-40B4-BE49-F238E27FC236}">
              <a16:creationId xmlns:a16="http://schemas.microsoft.com/office/drawing/2014/main" xmlns="" id="{00000000-0008-0000-0C00-00004B000000}"/>
            </a:ext>
          </a:extLst>
        </xdr:cNvPr>
        <xdr:cNvSpPr txBox="1"/>
      </xdr:nvSpPr>
      <xdr:spPr>
        <a:xfrm>
          <a:off x="1217917" y="2476316"/>
          <a:ext cx="750012" cy="2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ru-RU" b="1"/>
            <a:t>Интеграция с учётными записями и правами </a:t>
          </a:r>
          <a:r>
            <a:rPr lang="en-US" b="1"/>
            <a:t>Active Directory, </a:t>
          </a:r>
          <a:r>
            <a:rPr lang="ru-RU" b="1"/>
            <a:t>но корректно работает и вне </a:t>
          </a:r>
          <a:r>
            <a:rPr lang="en-US" b="1"/>
            <a:t>Windows </a:t>
          </a:r>
          <a:r>
            <a:rPr lang="ru-RU" b="1"/>
            <a:t>доменов</a:t>
          </a:r>
          <a:endParaRPr lang="ru-RU" b="1">
            <a:effectLst/>
          </a:endParaRPr>
        </a:p>
      </xdr:txBody>
    </xdr:sp>
    <xdr:clientData/>
  </xdr:twoCellAnchor>
  <xdr:twoCellAnchor>
    <xdr:from>
      <xdr:col>13</xdr:col>
      <xdr:colOff>320856</xdr:colOff>
      <xdr:row>12</xdr:row>
      <xdr:rowOff>846977</xdr:rowOff>
    </xdr:from>
    <xdr:to>
      <xdr:col>17</xdr:col>
      <xdr:colOff>192642</xdr:colOff>
      <xdr:row>12</xdr:row>
      <xdr:rowOff>1723062</xdr:rowOff>
    </xdr:to>
    <xdr:sp macro="" textlink="">
      <xdr:nvSpPr>
        <xdr:cNvPr id="76" name="TextBox 75">
          <a:extLst>
            <a:ext uri="{FF2B5EF4-FFF2-40B4-BE49-F238E27FC236}">
              <a16:creationId xmlns:a16="http://schemas.microsoft.com/office/drawing/2014/main" xmlns="" id="{00000000-0008-0000-0C00-00004C000000}"/>
            </a:ext>
          </a:extLst>
        </xdr:cNvPr>
        <xdr:cNvSpPr txBox="1"/>
      </xdr:nvSpPr>
      <xdr:spPr>
        <a:xfrm>
          <a:off x="8245656" y="2475752"/>
          <a:ext cx="2310186"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ru-RU" b="1"/>
            <a:t>Объединение защищенных ПК для централизованного управления механизмами безопасности</a:t>
          </a:r>
          <a:endParaRPr lang="ru-RU" b="1">
            <a:effectLst/>
          </a:endParaRPr>
        </a:p>
      </xdr:txBody>
    </xdr:sp>
    <xdr:clientData/>
  </xdr:twoCellAnchor>
  <xdr:twoCellAnchor>
    <xdr:from>
      <xdr:col>8</xdr:col>
      <xdr:colOff>462559</xdr:colOff>
      <xdr:row>12</xdr:row>
      <xdr:rowOff>838842</xdr:rowOff>
    </xdr:from>
    <xdr:to>
      <xdr:col>12</xdr:col>
      <xdr:colOff>171237</xdr:colOff>
      <xdr:row>12</xdr:row>
      <xdr:rowOff>1723062</xdr:rowOff>
    </xdr:to>
    <xdr:sp macro="" textlink="">
      <xdr:nvSpPr>
        <xdr:cNvPr id="77" name="TextBox 76">
          <a:extLst>
            <a:ext uri="{FF2B5EF4-FFF2-40B4-BE49-F238E27FC236}">
              <a16:creationId xmlns:a16="http://schemas.microsoft.com/office/drawing/2014/main" xmlns="" id="{00000000-0008-0000-0C00-00004D000000}"/>
            </a:ext>
          </a:extLst>
        </xdr:cNvPr>
        <xdr:cNvSpPr txBox="1"/>
      </xdr:nvSpPr>
      <xdr:spPr>
        <a:xfrm>
          <a:off x="5339359" y="2477142"/>
          <a:ext cx="2147078"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ru-RU" sz="1100" b="1" i="0">
              <a:solidFill>
                <a:schemeClr val="dk1"/>
              </a:solidFill>
              <a:effectLst/>
              <a:latin typeface="+mn-lt"/>
              <a:ea typeface="+mn-ea"/>
              <a:cs typeface="+mn-cs"/>
            </a:rPr>
            <a:t>Дискреционный принцип разграничения доступа к информационным ресурсам и подключаемым устройствам</a:t>
          </a:r>
          <a:endParaRPr lang="ru-RU" sz="1100" b="1">
            <a:effectLst/>
          </a:endParaRPr>
        </a:p>
      </xdr:txBody>
    </xdr:sp>
    <xdr:clientData/>
  </xdr:twoCellAnchor>
  <xdr:oneCellAnchor>
    <xdr:from>
      <xdr:col>0</xdr:col>
      <xdr:colOff>96319</xdr:colOff>
      <xdr:row>12</xdr:row>
      <xdr:rowOff>770561</xdr:rowOff>
    </xdr:from>
    <xdr:ext cx="862658" cy="669888"/>
    <xdr:pic>
      <xdr:nvPicPr>
        <xdr:cNvPr id="78" name="Рисунок 77">
          <a:extLst>
            <a:ext uri="{FF2B5EF4-FFF2-40B4-BE49-F238E27FC236}">
              <a16:creationId xmlns:a16="http://schemas.microsoft.com/office/drawing/2014/main" xmlns="" id="{00000000-0008-0000-0C00-00004E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96319" y="2475536"/>
          <a:ext cx="862658" cy="669888"/>
        </a:xfrm>
        <a:prstGeom prst="rect">
          <a:avLst/>
        </a:prstGeom>
      </xdr:spPr>
    </xdr:pic>
    <xdr:clientData/>
  </xdr:oneCellAnchor>
  <xdr:oneCellAnchor>
    <xdr:from>
      <xdr:col>1</xdr:col>
      <xdr:colOff>11204</xdr:colOff>
      <xdr:row>18</xdr:row>
      <xdr:rowOff>358592</xdr:rowOff>
    </xdr:from>
    <xdr:ext cx="722033" cy="708606"/>
    <xdr:pic>
      <xdr:nvPicPr>
        <xdr:cNvPr id="79" name="Рисунок 78">
          <a:extLst>
            <a:ext uri="{FF2B5EF4-FFF2-40B4-BE49-F238E27FC236}">
              <a16:creationId xmlns:a16="http://schemas.microsoft.com/office/drawing/2014/main" xmlns="" id="{00000000-0008-0000-0C00-00004F000000}"/>
            </a:ext>
          </a:extLst>
        </xdr:cNvPr>
        <xdr:cNvPicPr>
          <a:picLocks noChangeAspect="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l="18095" t="12307"/>
        <a:stretch/>
      </xdr:blipFill>
      <xdr:spPr>
        <a:xfrm>
          <a:off x="620804" y="3616142"/>
          <a:ext cx="722033" cy="708606"/>
        </a:xfrm>
        <a:prstGeom prst="rect">
          <a:avLst/>
        </a:prstGeom>
      </xdr:spPr>
    </xdr:pic>
    <xdr:clientData/>
  </xdr:oneCellAnchor>
  <xdr:twoCellAnchor>
    <xdr:from>
      <xdr:col>1</xdr:col>
      <xdr:colOff>876981</xdr:colOff>
      <xdr:row>15</xdr:row>
      <xdr:rowOff>1576048</xdr:rowOff>
    </xdr:from>
    <xdr:to>
      <xdr:col>9</xdr:col>
      <xdr:colOff>586153</xdr:colOff>
      <xdr:row>15</xdr:row>
      <xdr:rowOff>2151533</xdr:rowOff>
    </xdr:to>
    <xdr:sp macro="" textlink="">
      <xdr:nvSpPr>
        <xdr:cNvPr id="80" name="TextBox 79">
          <a:extLst>
            <a:ext uri="{FF2B5EF4-FFF2-40B4-BE49-F238E27FC236}">
              <a16:creationId xmlns:a16="http://schemas.microsoft.com/office/drawing/2014/main" xmlns="" id="{00000000-0008-0000-0C00-000050000000}"/>
            </a:ext>
          </a:extLst>
        </xdr:cNvPr>
        <xdr:cNvSpPr txBox="1"/>
      </xdr:nvSpPr>
      <xdr:spPr>
        <a:xfrm>
          <a:off x="1219881" y="3052423"/>
          <a:ext cx="4852672"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600"/>
            </a:spcBef>
            <a:spcAft>
              <a:spcPts val="0"/>
            </a:spcAft>
            <a:buClrTx/>
            <a:buSzTx/>
            <a:buFont typeface="Wingdings" panose="05000000000000000000" pitchFamily="2" charset="2"/>
            <a:buNone/>
            <a:tabLst/>
            <a:defRPr/>
          </a:pPr>
          <a:r>
            <a:rPr lang="ru-RU" sz="1100" b="1" i="0" baseline="0">
              <a:solidFill>
                <a:schemeClr val="dk1"/>
              </a:solidFill>
              <a:effectLst/>
              <a:latin typeface="+mn-lt"/>
              <a:ea typeface="+mn-ea"/>
              <a:cs typeface="+mn-cs"/>
            </a:rPr>
            <a:t>Авторизация пользователей до загрузки ОС — </a:t>
          </a:r>
          <a:r>
            <a:rPr lang="ru-RU" sz="1100" b="0" i="0" baseline="0">
              <a:solidFill>
                <a:schemeClr val="dk1"/>
              </a:solidFill>
              <a:effectLst/>
              <a:latin typeface="+mn-lt"/>
              <a:ea typeface="+mn-ea"/>
              <a:cs typeface="+mn-cs"/>
            </a:rPr>
            <a:t>позволяет авторизовать пользователя с помощью </a:t>
          </a:r>
          <a:r>
            <a:rPr lang="en-US" sz="1100" b="0" i="0" baseline="0">
              <a:solidFill>
                <a:schemeClr val="dk1"/>
              </a:solidFill>
              <a:effectLst/>
              <a:latin typeface="+mn-lt"/>
              <a:ea typeface="+mn-ea"/>
              <a:cs typeface="+mn-cs"/>
            </a:rPr>
            <a:t>PIN-</a:t>
          </a:r>
          <a:r>
            <a:rPr lang="ru-RU" sz="1100" b="0" i="0" baseline="0">
              <a:solidFill>
                <a:schemeClr val="dk1"/>
              </a:solidFill>
              <a:effectLst/>
              <a:latin typeface="+mn-lt"/>
              <a:ea typeface="+mn-ea"/>
              <a:cs typeface="+mn-cs"/>
            </a:rPr>
            <a:t>кода до запуска операционной системы, обеспечивая высокий уровень защиты</a:t>
          </a:r>
        </a:p>
        <a:p>
          <a:pPr marL="0" marR="0" lvl="0" indent="0" algn="l" defTabSz="914400" eaLnBrk="1" fontAlgn="auto" latinLnBrk="0" hangingPunct="1">
            <a:lnSpc>
              <a:spcPct val="100000"/>
            </a:lnSpc>
            <a:spcBef>
              <a:spcPts val="600"/>
            </a:spcBef>
            <a:spcAft>
              <a:spcPts val="0"/>
            </a:spcAft>
            <a:buClrTx/>
            <a:buSzTx/>
            <a:buFont typeface="Wingdings" panose="05000000000000000000" pitchFamily="2" charset="2"/>
            <a:buNone/>
            <a:tabLst/>
            <a:defRPr/>
          </a:pPr>
          <a:endParaRPr lang="ru-RU" sz="1100" b="0" i="0" baseline="0">
            <a:solidFill>
              <a:schemeClr val="dk1"/>
            </a:solidFill>
            <a:effectLst/>
            <a:latin typeface="+mn-lt"/>
            <a:ea typeface="+mn-ea"/>
            <a:cs typeface="+mn-cs"/>
          </a:endParaRPr>
        </a:p>
      </xdr:txBody>
    </xdr:sp>
    <xdr:clientData/>
  </xdr:twoCellAnchor>
  <xdr:twoCellAnchor>
    <xdr:from>
      <xdr:col>0</xdr:col>
      <xdr:colOff>165669</xdr:colOff>
      <xdr:row>12</xdr:row>
      <xdr:rowOff>1803110</xdr:rowOff>
    </xdr:from>
    <xdr:to>
      <xdr:col>17</xdr:col>
      <xdr:colOff>0</xdr:colOff>
      <xdr:row>13</xdr:row>
      <xdr:rowOff>2838823</xdr:rowOff>
    </xdr:to>
    <xdr:sp macro="" textlink="">
      <xdr:nvSpPr>
        <xdr:cNvPr id="81" name="TextBox 80">
          <a:extLst>
            <a:ext uri="{FF2B5EF4-FFF2-40B4-BE49-F238E27FC236}">
              <a16:creationId xmlns:a16="http://schemas.microsoft.com/office/drawing/2014/main" xmlns="" id="{00000000-0008-0000-0C00-000051000000}"/>
            </a:ext>
          </a:extLst>
        </xdr:cNvPr>
        <xdr:cNvSpPr txBox="1"/>
      </xdr:nvSpPr>
      <xdr:spPr>
        <a:xfrm>
          <a:off x="165669" y="2479385"/>
          <a:ext cx="10197531" cy="1879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ru-RU" sz="1400" b="1" i="0" u="none" baseline="0">
              <a:solidFill>
                <a:schemeClr val="dk1"/>
              </a:solidFill>
              <a:effectLst/>
              <a:latin typeface="+mn-lt"/>
              <a:ea typeface="+mn-ea"/>
              <a:cs typeface="+mn-cs"/>
            </a:rPr>
            <a:t>Доступен набор сертифицированных модулей:</a:t>
          </a: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r>
            <a:rPr lang="ru-RU" sz="1100" b="1" i="0" baseline="0">
              <a:solidFill>
                <a:schemeClr val="dk1"/>
              </a:solidFill>
              <a:effectLst/>
              <a:latin typeface="+mn-lt"/>
              <a:ea typeface="+mn-ea"/>
              <a:cs typeface="+mn-cs"/>
            </a:rPr>
            <a:t>Система обнаружения и предотвращения вторжений (ИТ.СОВ.У4.ПЗ) </a:t>
          </a:r>
          <a:r>
            <a:rPr lang="ru-RU" sz="1100" b="0" i="0" baseline="0">
              <a:solidFill>
                <a:schemeClr val="dk1"/>
              </a:solidFill>
              <a:effectLst/>
              <a:latin typeface="+mn-lt"/>
              <a:ea typeface="+mn-ea"/>
              <a:cs typeface="+mn-cs"/>
            </a:rPr>
            <a:t>реализует защиту от попыток неавторизованного доступа в компьютерную систему или сеть, используя</a:t>
          </a:r>
          <a:r>
            <a:rPr lang="ru-RU" baseline="0"/>
            <a:t>:</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a:t>сигнатурный и эвристический анализ сетевого трафика, журналов ОС и приложений</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a:t>перехват вызова функций ОС сторонними приложениями </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a:t>песочницу для безопасного запуска подозрительных объектов</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a:t>собственный механизм защиты от вирусов-шифровальщиков с возможностью восстановления файлов</a:t>
          </a:r>
          <a:endParaRPr lang="ru-RU" sz="1100" b="1" i="0" baseline="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r>
            <a:rPr lang="ru-RU" sz="1100" b="1" i="0" baseline="0">
              <a:solidFill>
                <a:schemeClr val="dk1"/>
              </a:solidFill>
              <a:effectLst/>
              <a:latin typeface="+mn-lt"/>
              <a:ea typeface="+mn-ea"/>
              <a:cs typeface="+mn-cs"/>
            </a:rPr>
            <a:t>Межсетевой экран (ИТ.МЭ.В4.ПЗ) </a:t>
          </a:r>
          <a:r>
            <a:rPr lang="ru-RU"/>
            <a:t>осуществляет контроль и фильтрацию сетевых пакетов, проходящих через сетевые интерфейсы ПК, а также включает следующие возможности:</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полное блокирование передачи данных по определённым сетевым протоколам</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блокировка ресурсов в сети Интернет по </a:t>
          </a:r>
          <a:r>
            <a:rPr lang="en-US" sz="1100">
              <a:solidFill>
                <a:schemeClr val="dk1"/>
              </a:solidFill>
              <a:latin typeface="+mn-lt"/>
              <a:ea typeface="+mn-ea"/>
              <a:cs typeface="+mn-cs"/>
            </a:rPr>
            <a:t>IP-</a:t>
          </a:r>
          <a:r>
            <a:rPr lang="ru-RU" sz="1100">
              <a:solidFill>
                <a:schemeClr val="dk1"/>
              </a:solidFill>
              <a:latin typeface="+mn-lt"/>
              <a:ea typeface="+mn-ea"/>
              <a:cs typeface="+mn-cs"/>
            </a:rPr>
            <a:t>адресу и </a:t>
          </a:r>
          <a:r>
            <a:rPr lang="en-US" sz="1100">
              <a:solidFill>
                <a:schemeClr val="dk1"/>
              </a:solidFill>
              <a:latin typeface="+mn-lt"/>
              <a:ea typeface="+mn-ea"/>
              <a:cs typeface="+mn-cs"/>
            </a:rPr>
            <a:t>URL </a:t>
          </a:r>
          <a:r>
            <a:rPr lang="ru-RU" sz="1100">
              <a:solidFill>
                <a:schemeClr val="dk1"/>
              </a:solidFill>
              <a:latin typeface="+mn-lt"/>
              <a:ea typeface="+mn-ea"/>
              <a:cs typeface="+mn-cs"/>
            </a:rPr>
            <a:t>сайта</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гибкую</a:t>
          </a:r>
          <a:r>
            <a:rPr lang="ru-RU" sz="1100" baseline="0">
              <a:solidFill>
                <a:schemeClr val="dk1"/>
              </a:solidFill>
              <a:latin typeface="+mn-lt"/>
              <a:ea typeface="+mn-ea"/>
              <a:cs typeface="+mn-cs"/>
            </a:rPr>
            <a:t> </a:t>
          </a:r>
          <a:r>
            <a:rPr lang="ru-RU" sz="1100">
              <a:solidFill>
                <a:schemeClr val="dk1"/>
              </a:solidFill>
              <a:latin typeface="+mn-lt"/>
              <a:ea typeface="+mn-ea"/>
              <a:cs typeface="+mn-cs"/>
            </a:rPr>
            <a:t>настройку правил фильтрации и выполнение групповых операций над правилами</a:t>
          </a: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r>
            <a:rPr lang="ru-RU" sz="1100" b="1" i="0" baseline="0">
              <a:solidFill>
                <a:schemeClr val="dk1"/>
              </a:solidFill>
              <a:effectLst/>
              <a:latin typeface="+mn-lt"/>
              <a:ea typeface="+mn-ea"/>
              <a:cs typeface="+mn-cs"/>
            </a:rPr>
            <a:t>Средство контроля съемных машинных носителей информации (СКН) </a:t>
          </a:r>
          <a:r>
            <a:rPr lang="ru-RU"/>
            <a:t>обеспечивает защиту и контроль за использованием съёмных накопителей, включает два уровня</a:t>
          </a:r>
          <a:r>
            <a:rPr lang="ru-RU" sz="1100" b="1" i="0" baseline="0">
              <a:solidFill>
                <a:schemeClr val="dk1"/>
              </a:solidFill>
              <a:effectLst/>
              <a:latin typeface="+mn-lt"/>
              <a:ea typeface="+mn-ea"/>
              <a:cs typeface="+mn-cs"/>
            </a:rPr>
            <a:t>:</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b="1">
              <a:solidFill>
                <a:schemeClr val="dk1"/>
              </a:solidFill>
              <a:latin typeface="+mn-lt"/>
              <a:ea typeface="+mn-ea"/>
              <a:cs typeface="+mn-cs"/>
            </a:rPr>
            <a:t>СКН уровня подключения</a:t>
          </a:r>
          <a:r>
            <a:rPr lang="ru-RU" sz="1100">
              <a:solidFill>
                <a:schemeClr val="dk1"/>
              </a:solidFill>
              <a:latin typeface="+mn-lt"/>
              <a:ea typeface="+mn-ea"/>
              <a:cs typeface="+mn-cs"/>
            </a:rPr>
            <a:t> съёмных носителей: контроль подключения накопителей к рабочим станциям, разграничение доступа к ним, а также защита от теневого копирования </a:t>
          </a:r>
          <a:r>
            <a:rPr lang="ru-RU" sz="1100" b="1" i="0" baseline="0">
              <a:solidFill>
                <a:schemeClr val="dk1"/>
              </a:solidFill>
              <a:effectLst/>
              <a:latin typeface="+mn-lt"/>
              <a:ea typeface="+mn-ea"/>
              <a:cs typeface="+mn-cs"/>
            </a:rPr>
            <a:t>(ИТ.СКН.П4.П3)</a:t>
          </a:r>
          <a:endParaRPr lang="ru-RU" sz="1100">
            <a:solidFill>
              <a:schemeClr val="dk1"/>
            </a:solidFill>
            <a:latin typeface="+mn-lt"/>
            <a:ea typeface="+mn-ea"/>
            <a:cs typeface="+mn-cs"/>
          </a:endParaRP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b="1">
              <a:solidFill>
                <a:schemeClr val="dk1"/>
              </a:solidFill>
              <a:latin typeface="+mn-lt"/>
              <a:ea typeface="+mn-ea"/>
              <a:cs typeface="+mn-cs"/>
            </a:rPr>
            <a:t>СКН уровня отчуждения</a:t>
          </a:r>
          <a:r>
            <a:rPr lang="ru-RU" sz="1100" b="0">
              <a:solidFill>
                <a:schemeClr val="dk1"/>
              </a:solidFill>
              <a:latin typeface="+mn-lt"/>
              <a:ea typeface="+mn-ea"/>
              <a:cs typeface="+mn-cs"/>
            </a:rPr>
            <a:t> (переноса) </a:t>
          </a:r>
          <a:r>
            <a:rPr lang="ru-RU" sz="1100">
              <a:solidFill>
                <a:schemeClr val="dk1"/>
              </a:solidFill>
              <a:latin typeface="+mn-lt"/>
              <a:ea typeface="+mn-ea"/>
              <a:cs typeface="+mn-cs"/>
            </a:rPr>
            <a:t>информации: преобразование данных «на лету» при чтении и записи, </a:t>
          </a:r>
          <a:r>
            <a:rPr lang="ru-RU"/>
            <a:t>легитимный и безопасный перенос конфиденциальной информации между </a:t>
          </a:r>
          <a:r>
            <a:rPr lang="ru-RU" sz="1100">
              <a:solidFill>
                <a:schemeClr val="dk1"/>
              </a:solidFill>
              <a:effectLst/>
              <a:latin typeface="+mn-lt"/>
              <a:ea typeface="+mn-ea"/>
              <a:cs typeface="+mn-cs"/>
            </a:rPr>
            <a:t>рабочими станциями </a:t>
          </a:r>
          <a:r>
            <a:rPr lang="ru-RU"/>
            <a:t>и доменами</a:t>
          </a:r>
          <a:r>
            <a:rPr lang="ru-RU" baseline="0"/>
            <a:t> </a:t>
          </a:r>
          <a:r>
            <a:rPr lang="ru-RU" sz="1100" b="1" i="0" baseline="0">
              <a:solidFill>
                <a:schemeClr val="dk1"/>
              </a:solidFill>
              <a:effectLst/>
              <a:latin typeface="+mn-lt"/>
              <a:ea typeface="+mn-ea"/>
              <a:cs typeface="+mn-cs"/>
            </a:rPr>
            <a:t>(ИТ.СКН.Н4.П3)</a:t>
          </a:r>
          <a:endParaRPr lang="ru-RU" sz="1100">
            <a:solidFill>
              <a:schemeClr val="dk1"/>
            </a:solidFill>
            <a:latin typeface="+mn-lt"/>
            <a:ea typeface="+mn-ea"/>
            <a:cs typeface="+mn-cs"/>
          </a:endParaRP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r>
            <a:rPr lang="ru-RU" sz="1100" b="1" i="0" baseline="0">
              <a:solidFill>
                <a:schemeClr val="dk1"/>
              </a:solidFill>
              <a:effectLst/>
              <a:latin typeface="+mn-lt"/>
              <a:ea typeface="+mn-ea"/>
              <a:cs typeface="+mn-cs"/>
            </a:rPr>
            <a:t>Модуль паспортизации программного обеспечения </a:t>
          </a:r>
          <a:r>
            <a:rPr lang="ru-RU"/>
            <a:t>предназначен для создания и ведения паспортов программного обеспечения на рабочих местах пользователей. Он контролирует список исполняемых файлов, собирает информацию о состоянии программной среды, сравнивает версии и синхронизирует их с утверждёнными паспортами ПО</a:t>
          </a:r>
          <a:endParaRPr lang="ru-RU" sz="1100" b="1" i="0" baseline="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r>
            <a:rPr lang="ru-RU" sz="1100" b="1" i="0" baseline="0">
              <a:solidFill>
                <a:schemeClr val="dk1"/>
              </a:solidFill>
              <a:effectLst/>
              <a:latin typeface="+mn-lt"/>
              <a:ea typeface="+mn-ea"/>
              <a:cs typeface="+mn-cs"/>
            </a:rPr>
            <a:t>Модуль резервного копирования произвольных объектов </a:t>
          </a:r>
          <a:r>
            <a:rPr lang="ru-RU"/>
            <a:t>позволяет настраивать резервное копирование произвольных пользовательских файлов и настроек. Пользователь может выбирать количество копий, задавать расписание создания и при необходимости восстанавливать данные из резервных копий</a:t>
          </a: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r>
            <a:rPr lang="ru-RU" sz="1100" b="1" i="0" baseline="0">
              <a:solidFill>
                <a:schemeClr val="dk1"/>
              </a:solidFill>
              <a:effectLst/>
              <a:latin typeface="+mn-lt"/>
              <a:ea typeface="+mn-ea"/>
              <a:cs typeface="+mn-cs"/>
            </a:rPr>
            <a:t>Возможности </a:t>
          </a:r>
          <a:r>
            <a:rPr lang="en-US" sz="1100" b="1" i="0" baseline="0">
              <a:solidFill>
                <a:schemeClr val="dk1"/>
              </a:solidFill>
              <a:effectLst/>
              <a:latin typeface="+mn-lt"/>
              <a:ea typeface="+mn-ea"/>
              <a:cs typeface="+mn-cs"/>
            </a:rPr>
            <a:t>EDR </a:t>
          </a:r>
          <a:r>
            <a:rPr lang="ru-RU" sz="1100" b="1" i="0" baseline="0">
              <a:solidFill>
                <a:schemeClr val="dk1"/>
              </a:solidFill>
              <a:effectLst/>
              <a:latin typeface="+mn-lt"/>
              <a:ea typeface="+mn-ea"/>
              <a:cs typeface="+mn-cs"/>
            </a:rPr>
            <a:t>в новом модуле «Средство обнаружения и реагирования». </a:t>
          </a:r>
          <a:r>
            <a:rPr lang="ru-RU" sz="1100" b="0" i="0" baseline="0">
              <a:solidFill>
                <a:schemeClr val="dk1"/>
              </a:solidFill>
              <a:effectLst/>
              <a:latin typeface="+mn-lt"/>
              <a:ea typeface="+mn-ea"/>
              <a:cs typeface="+mn-cs"/>
            </a:rPr>
            <a:t>Р</a:t>
          </a:r>
          <a:r>
            <a:rPr lang="ru-RU" sz="1100" b="0" i="0">
              <a:solidFill>
                <a:schemeClr val="dk1"/>
              </a:solidFill>
              <a:effectLst/>
              <a:latin typeface="+mn-lt"/>
              <a:ea typeface="+mn-ea"/>
              <a:cs typeface="+mn-cs"/>
            </a:rPr>
            <a:t>еализована возможность сканирования системы на индикаторы компрометации (</a:t>
          </a:r>
          <a:r>
            <a:rPr lang="en-US" sz="1100" b="0" i="0">
              <a:solidFill>
                <a:schemeClr val="dk1"/>
              </a:solidFill>
              <a:effectLst/>
              <a:latin typeface="+mn-lt"/>
              <a:ea typeface="+mn-ea"/>
              <a:cs typeface="+mn-cs"/>
            </a:rPr>
            <a:t>IoC). </a:t>
          </a:r>
          <a:r>
            <a:rPr lang="ru-RU" sz="1100" b="0" i="0">
              <a:solidFill>
                <a:schemeClr val="dk1"/>
              </a:solidFill>
              <a:effectLst/>
              <a:latin typeface="+mn-lt"/>
              <a:ea typeface="+mn-ea"/>
              <a:cs typeface="+mn-cs"/>
            </a:rPr>
            <a:t>Модуль «Средство обнаружения и реагирования» позволяет:</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управлять базой индикаторов компрометации (</a:t>
          </a:r>
          <a:r>
            <a:rPr lang="en-US" sz="1100">
              <a:solidFill>
                <a:schemeClr val="dk1"/>
              </a:solidFill>
              <a:latin typeface="+mn-lt"/>
              <a:ea typeface="+mn-ea"/>
              <a:cs typeface="+mn-cs"/>
            </a:rPr>
            <a:t>IoC), </a:t>
          </a:r>
          <a:r>
            <a:rPr lang="ru-RU" sz="1100">
              <a:solidFill>
                <a:schemeClr val="dk1"/>
              </a:solidFill>
              <a:latin typeface="+mn-lt"/>
              <a:ea typeface="+mn-ea"/>
              <a:cs typeface="+mn-cs"/>
            </a:rPr>
            <a:t>в том числе добавлять пользовательские файлы;</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запускать сканирование системы вручную или по расписанию;</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создавать правила автоматического реагирования на основе индикаторов компрометации с выбором действия по реагированию на угрозы;</a:t>
          </a:r>
        </a:p>
        <a:p>
          <a:pPr marL="628650" marR="0" lvl="1" indent="-171450" algn="l" defTabSz="914400" eaLnBrk="1" fontAlgn="auto" latinLnBrk="0" hangingPunct="1">
            <a:lnSpc>
              <a:spcPct val="100000"/>
            </a:lnSpc>
            <a:spcBef>
              <a:spcPts val="600"/>
            </a:spcBef>
            <a:spcAft>
              <a:spcPts val="0"/>
            </a:spcAft>
            <a:buClrTx/>
            <a:buSzTx/>
            <a:buFont typeface="Arial" panose="020B0604020202020204" pitchFamily="34" charset="0"/>
            <a:buChar char="•"/>
            <a:tabLst/>
            <a:defRPr/>
          </a:pPr>
          <a:r>
            <a:rPr lang="ru-RU" sz="1100">
              <a:solidFill>
                <a:schemeClr val="dk1"/>
              </a:solidFill>
              <a:latin typeface="+mn-lt"/>
              <a:ea typeface="+mn-ea"/>
              <a:cs typeface="+mn-cs"/>
            </a:rPr>
            <a:t>регулярно обновлять базу индикаторов компрометации (</a:t>
          </a:r>
          <a:r>
            <a:rPr lang="en-US" sz="1100">
              <a:solidFill>
                <a:schemeClr val="dk1"/>
              </a:solidFill>
              <a:latin typeface="+mn-lt"/>
              <a:ea typeface="+mn-ea"/>
              <a:cs typeface="+mn-cs"/>
            </a:rPr>
            <a:t>IoC).</a:t>
          </a:r>
          <a:r>
            <a:rPr lang="ru-RU" sz="1100">
              <a:solidFill>
                <a:schemeClr val="dk1"/>
              </a:solidFill>
              <a:latin typeface="+mn-lt"/>
              <a:ea typeface="+mn-ea"/>
              <a:cs typeface="+mn-cs"/>
            </a:rPr>
            <a:t>*</a:t>
          </a:r>
          <a:br>
            <a:rPr lang="ru-RU" sz="1100">
              <a:solidFill>
                <a:schemeClr val="dk1"/>
              </a:solidFill>
              <a:latin typeface="+mn-lt"/>
              <a:ea typeface="+mn-ea"/>
              <a:cs typeface="+mn-cs"/>
            </a:rPr>
          </a:br>
          <a:r>
            <a:rPr lang="ru-RU" sz="1100">
              <a:solidFill>
                <a:schemeClr val="dk1"/>
              </a:solidFill>
              <a:latin typeface="+mn-lt"/>
              <a:ea typeface="+mn-ea"/>
              <a:cs typeface="+mn-cs"/>
            </a:rPr>
            <a:t/>
          </a:r>
          <a:br>
            <a:rPr lang="ru-RU" sz="1100">
              <a:solidFill>
                <a:schemeClr val="dk1"/>
              </a:solidFill>
              <a:latin typeface="+mn-lt"/>
              <a:ea typeface="+mn-ea"/>
              <a:cs typeface="+mn-cs"/>
            </a:rPr>
          </a:br>
          <a:r>
            <a:rPr lang="ru-RU" sz="1100" b="0" i="0" baseline="0">
              <a:solidFill>
                <a:schemeClr val="dk1"/>
              </a:solidFill>
              <a:effectLst/>
              <a:latin typeface="+mn-lt"/>
              <a:ea typeface="+mn-ea"/>
              <a:cs typeface="+mn-cs"/>
            </a:rPr>
            <a:t>* - функциональная возможность реализована и будет доступна в 3 квартале 2025 г.</a:t>
          </a:r>
          <a:r>
            <a:rPr lang="ru-RU" sz="1100">
              <a:solidFill>
                <a:schemeClr val="dk1"/>
              </a:solidFill>
              <a:latin typeface="+mn-lt"/>
              <a:ea typeface="+mn-ea"/>
              <a:cs typeface="+mn-cs"/>
            </a:rPr>
            <a:t/>
          </a:r>
          <a:br>
            <a:rPr lang="ru-RU" sz="1100">
              <a:solidFill>
                <a:schemeClr val="dk1"/>
              </a:solidFill>
              <a:latin typeface="+mn-lt"/>
              <a:ea typeface="+mn-ea"/>
              <a:cs typeface="+mn-cs"/>
            </a:rPr>
          </a:br>
          <a:r>
            <a:rPr lang="ru-RU" sz="1100">
              <a:solidFill>
                <a:schemeClr val="dk1"/>
              </a:solidFill>
              <a:latin typeface="+mn-lt"/>
              <a:ea typeface="+mn-ea"/>
              <a:cs typeface="+mn-cs"/>
            </a:rPr>
            <a:t/>
          </a:r>
          <a:br>
            <a:rPr lang="ru-RU" sz="1100">
              <a:solidFill>
                <a:schemeClr val="dk1"/>
              </a:solidFill>
              <a:latin typeface="+mn-lt"/>
              <a:ea typeface="+mn-ea"/>
              <a:cs typeface="+mn-cs"/>
            </a:rPr>
          </a:br>
          <a:r>
            <a:rPr lang="ru-RU" sz="1100">
              <a:solidFill>
                <a:schemeClr val="dk1"/>
              </a:solidFill>
              <a:latin typeface="+mn-lt"/>
              <a:ea typeface="+mn-ea"/>
              <a:cs typeface="+mn-cs"/>
            </a:rPr>
            <a:t/>
          </a:r>
          <a:br>
            <a:rPr lang="ru-RU" sz="1100">
              <a:solidFill>
                <a:schemeClr val="dk1"/>
              </a:solidFill>
              <a:latin typeface="+mn-lt"/>
              <a:ea typeface="+mn-ea"/>
              <a:cs typeface="+mn-cs"/>
            </a:rPr>
          </a:br>
          <a:endParaRPr lang="en-US" sz="1100">
            <a:solidFill>
              <a:schemeClr val="dk1"/>
            </a:solidFill>
            <a:latin typeface="+mn-lt"/>
            <a:ea typeface="+mn-ea"/>
            <a:cs typeface="+mn-cs"/>
          </a:endParaRP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endParaRPr lang="ru-RU" sz="1100" b="1" i="0" baseline="0">
            <a:solidFill>
              <a:schemeClr val="dk1"/>
            </a:solidFill>
            <a:effectLst/>
            <a:latin typeface="+mn-lt"/>
            <a:ea typeface="+mn-ea"/>
            <a:cs typeface="+mn-cs"/>
          </a:endParaRPr>
        </a:p>
        <a:p>
          <a:pPr marL="171450" marR="0" lvl="0" indent="-171450" algn="l" defTabSz="914400" eaLnBrk="1" fontAlgn="auto" latinLnBrk="0" hangingPunct="1">
            <a:lnSpc>
              <a:spcPct val="100000"/>
            </a:lnSpc>
            <a:spcBef>
              <a:spcPts val="600"/>
            </a:spcBef>
            <a:spcAft>
              <a:spcPts val="0"/>
            </a:spcAft>
            <a:buClrTx/>
            <a:buSzTx/>
            <a:buFont typeface="Wingdings" panose="05000000000000000000" pitchFamily="2" charset="2"/>
            <a:buChar char="v"/>
            <a:tabLst/>
            <a:defRPr/>
          </a:pPr>
          <a:endParaRPr lang="ru-RU" sz="1100" b="0" i="0" baseline="0">
            <a:solidFill>
              <a:schemeClr val="dk1"/>
            </a:solidFill>
            <a:effectLst/>
            <a:latin typeface="+mn-lt"/>
            <a:ea typeface="+mn-ea"/>
            <a:cs typeface="+mn-cs"/>
          </a:endParaRPr>
        </a:p>
      </xdr:txBody>
    </xdr:sp>
    <xdr:clientData/>
  </xdr:twoCellAnchor>
  <xdr:twoCellAnchor>
    <xdr:from>
      <xdr:col>4</xdr:col>
      <xdr:colOff>259215</xdr:colOff>
      <xdr:row>12</xdr:row>
      <xdr:rowOff>807240</xdr:rowOff>
    </xdr:from>
    <xdr:to>
      <xdr:col>7</xdr:col>
      <xdr:colOff>203346</xdr:colOff>
      <xdr:row>12</xdr:row>
      <xdr:rowOff>1595139</xdr:rowOff>
    </xdr:to>
    <xdr:sp macro="" textlink="">
      <xdr:nvSpPr>
        <xdr:cNvPr id="82" name="TextBox 81">
          <a:extLst>
            <a:ext uri="{FF2B5EF4-FFF2-40B4-BE49-F238E27FC236}">
              <a16:creationId xmlns:a16="http://schemas.microsoft.com/office/drawing/2014/main" xmlns="" id="{00000000-0008-0000-0C00-000052000000}"/>
            </a:ext>
          </a:extLst>
        </xdr:cNvPr>
        <xdr:cNvSpPr txBox="1"/>
      </xdr:nvSpPr>
      <xdr:spPr>
        <a:xfrm>
          <a:off x="2697615" y="2474115"/>
          <a:ext cx="1772931" cy="6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ru-RU" sz="1100" b="1">
              <a:solidFill>
                <a:schemeClr val="dk1"/>
              </a:solidFill>
              <a:latin typeface="+mn-lt"/>
              <a:ea typeface="+mn-ea"/>
              <a:cs typeface="+mn-cs"/>
            </a:rPr>
            <a:t>Интеграция с журналами антивируссной активности (</a:t>
          </a:r>
          <a:r>
            <a:rPr lang="en-US" sz="1100" b="1">
              <a:solidFill>
                <a:schemeClr val="dk1"/>
              </a:solidFill>
              <a:latin typeface="+mn-lt"/>
              <a:ea typeface="+mn-ea"/>
              <a:cs typeface="+mn-cs"/>
            </a:rPr>
            <a:t>Kaspersky Endpoint Security</a:t>
          </a:r>
          <a:r>
            <a:rPr lang="ru-RU" sz="1100" b="1">
              <a:solidFill>
                <a:schemeClr val="dk1"/>
              </a:solidFill>
              <a:latin typeface="+mn-lt"/>
              <a:ea typeface="+mn-ea"/>
              <a:cs typeface="+mn-cs"/>
            </a:rPr>
            <a:t>)</a:t>
          </a:r>
        </a:p>
      </xdr:txBody>
    </xdr:sp>
    <xdr:clientData/>
  </xdr:twoCellAnchor>
  <xdr:oneCellAnchor>
    <xdr:from>
      <xdr:col>3</xdr:col>
      <xdr:colOff>171239</xdr:colOff>
      <xdr:row>12</xdr:row>
      <xdr:rowOff>813371</xdr:rowOff>
    </xdr:from>
    <xdr:ext cx="792978" cy="720825"/>
    <xdr:pic>
      <xdr:nvPicPr>
        <xdr:cNvPr id="83" name="Рисунок 82">
          <a:extLst>
            <a:ext uri="{FF2B5EF4-FFF2-40B4-BE49-F238E27FC236}">
              <a16:creationId xmlns:a16="http://schemas.microsoft.com/office/drawing/2014/main" xmlns="" id="{00000000-0008-0000-0C00-000053000000}"/>
            </a:ext>
          </a:extLst>
        </xdr:cNvPr>
        <xdr:cNvPicPr>
          <a:picLocks noChangeAspect="1"/>
        </xdr:cNvPicPr>
      </xdr:nvPicPr>
      <xdr:blipFill>
        <a:blip xmlns:r="http://schemas.openxmlformats.org/officeDocument/2006/relationships" r:embed="rId43"/>
        <a:stretch>
          <a:fillRect/>
        </a:stretch>
      </xdr:blipFill>
      <xdr:spPr>
        <a:xfrm>
          <a:off x="2000039" y="2480246"/>
          <a:ext cx="792978" cy="720825"/>
        </a:xfrm>
        <a:prstGeom prst="rect">
          <a:avLst/>
        </a:prstGeom>
      </xdr:spPr>
    </xdr:pic>
    <xdr:clientData/>
  </xdr:oneCellAnchor>
  <xdr:oneCellAnchor>
    <xdr:from>
      <xdr:col>12</xdr:col>
      <xdr:colOff>214051</xdr:colOff>
      <xdr:row>12</xdr:row>
      <xdr:rowOff>909692</xdr:rowOff>
    </xdr:from>
    <xdr:ext cx="733454" cy="717051"/>
    <xdr:pic>
      <xdr:nvPicPr>
        <xdr:cNvPr id="84" name="Рисунок 83">
          <a:extLst>
            <a:ext uri="{FF2B5EF4-FFF2-40B4-BE49-F238E27FC236}">
              <a16:creationId xmlns:a16="http://schemas.microsoft.com/office/drawing/2014/main" xmlns="" id="{00000000-0008-0000-0C00-000054000000}"/>
            </a:ext>
          </a:extLst>
        </xdr:cNvPr>
        <xdr:cNvPicPr>
          <a:picLocks noChangeAspect="1"/>
        </xdr:cNvPicPr>
      </xdr:nvPicPr>
      <xdr:blipFill rotWithShape="1">
        <a:blip xmlns:r="http://schemas.openxmlformats.org/officeDocument/2006/relationships" r:embed="rId44">
          <a:extLst>
            <a:ext uri="{BEBA8EAE-BF5A-486C-A8C5-ECC9F3942E4B}">
              <a14:imgProps xmlns:a14="http://schemas.microsoft.com/office/drawing/2010/main">
                <a14:imgLayer r:embed="rId45">
                  <a14:imgEffect>
                    <a14:backgroundRemoval t="8333" b="88889" l="3540" r="96018">
                      <a14:foregroundMark x1="7965" y1="22222" x2="3540" y2="80556"/>
                      <a14:foregroundMark x1="37316" y1="29167" x2="31858" y2="76389"/>
                      <a14:foregroundMark x1="32596" y1="27778" x2="36578" y2="83333"/>
                      <a14:foregroundMark x1="65782" y1="30556" x2="59587" y2="80556"/>
                      <a14:foregroundMark x1="62537" y1="40278" x2="65192" y2="77778"/>
                      <a14:foregroundMark x1="96018" y1="33333" x2="89676" y2="63889"/>
                      <a14:foregroundMark x1="89823" y1="29167" x2="94248" y2="86111"/>
                    </a14:backgroundRemoval>
                  </a14:imgEffect>
                </a14:imgLayer>
              </a14:imgProps>
            </a:ext>
          </a:extLst>
        </a:blip>
        <a:srcRect l="87990" t="11228" r="2397"/>
        <a:stretch/>
      </xdr:blipFill>
      <xdr:spPr>
        <a:xfrm>
          <a:off x="7529251" y="2471792"/>
          <a:ext cx="733454" cy="717051"/>
        </a:xfrm>
        <a:prstGeom prst="rect">
          <a:avLst/>
        </a:prstGeom>
      </xdr:spPr>
    </xdr:pic>
    <xdr:clientData/>
  </xdr:oneCellAnchor>
  <xdr:oneCellAnchor>
    <xdr:from>
      <xdr:col>7</xdr:col>
      <xdr:colOff>417391</xdr:colOff>
      <xdr:row>12</xdr:row>
      <xdr:rowOff>834776</xdr:rowOff>
    </xdr:from>
    <xdr:ext cx="659482" cy="680591"/>
    <xdr:pic>
      <xdr:nvPicPr>
        <xdr:cNvPr id="85" name="Рисунок 84">
          <a:extLst>
            <a:ext uri="{FF2B5EF4-FFF2-40B4-BE49-F238E27FC236}">
              <a16:creationId xmlns:a16="http://schemas.microsoft.com/office/drawing/2014/main" xmlns="" id="{00000000-0008-0000-0C00-000055000000}"/>
            </a:ext>
          </a:extLst>
        </xdr:cNvPr>
        <xdr:cNvPicPr>
          <a:picLocks noChangeAspect="1"/>
        </xdr:cNvPicPr>
      </xdr:nvPicPr>
      <xdr:blipFill rotWithShape="1">
        <a:blip xmlns:r="http://schemas.openxmlformats.org/officeDocument/2006/relationships" r:embed="rId46" cstate="screen">
          <a:extLst>
            <a:ext uri="{28A0092B-C50C-407E-A947-70E740481C1C}">
              <a14:useLocalDpi xmlns:a14="http://schemas.microsoft.com/office/drawing/2010/main"/>
            </a:ext>
          </a:extLst>
        </a:blip>
        <a:srcRect l="15054" t="6073" r="18279" b="1564"/>
        <a:stretch/>
      </xdr:blipFill>
      <xdr:spPr>
        <a:xfrm>
          <a:off x="4684591" y="2473076"/>
          <a:ext cx="659482" cy="680591"/>
        </a:xfrm>
        <a:prstGeom prst="rect">
          <a:avLst/>
        </a:prstGeom>
      </xdr:spPr>
    </xdr:pic>
    <xdr:clientData/>
  </xdr:oneCellAnchor>
  <xdr:oneCellAnchor>
    <xdr:from>
      <xdr:col>0</xdr:col>
      <xdr:colOff>146027</xdr:colOff>
      <xdr:row>16</xdr:row>
      <xdr:rowOff>8035</xdr:rowOff>
    </xdr:from>
    <xdr:ext cx="803866" cy="711326"/>
    <xdr:pic>
      <xdr:nvPicPr>
        <xdr:cNvPr id="86" name="Рисунок 85">
          <a:extLst>
            <a:ext uri="{FF2B5EF4-FFF2-40B4-BE49-F238E27FC236}">
              <a16:creationId xmlns:a16="http://schemas.microsoft.com/office/drawing/2014/main" xmlns="" id="{00000000-0008-0000-0C00-000056000000}"/>
            </a:ext>
          </a:extLst>
        </xdr:cNvPr>
        <xdr:cNvPicPr>
          <a:picLocks noChangeAspect="1"/>
        </xdr:cNvPicPr>
      </xdr:nvPicPr>
      <xdr:blipFill>
        <a:blip xmlns:r="http://schemas.openxmlformats.org/officeDocument/2006/relationships" r:embed="rId47"/>
        <a:stretch>
          <a:fillRect/>
        </a:stretch>
      </xdr:blipFill>
      <xdr:spPr>
        <a:xfrm>
          <a:off x="146027" y="3056035"/>
          <a:ext cx="803866" cy="711326"/>
        </a:xfrm>
        <a:prstGeom prst="rect">
          <a:avLst/>
        </a:prstGeom>
      </xdr:spPr>
    </xdr:pic>
    <xdr:clientData/>
  </xdr:oneCellAnchor>
  <xdr:oneCellAnchor>
    <xdr:from>
      <xdr:col>0</xdr:col>
      <xdr:colOff>115178</xdr:colOff>
      <xdr:row>18</xdr:row>
      <xdr:rowOff>1918979</xdr:rowOff>
    </xdr:from>
    <xdr:ext cx="833033" cy="793331"/>
    <xdr:pic>
      <xdr:nvPicPr>
        <xdr:cNvPr id="87" name="Рисунок 86">
          <a:extLst>
            <a:ext uri="{FF2B5EF4-FFF2-40B4-BE49-F238E27FC236}">
              <a16:creationId xmlns:a16="http://schemas.microsoft.com/office/drawing/2014/main" xmlns="" id="{00000000-0008-0000-0C00-000057000000}"/>
            </a:ext>
          </a:extLst>
        </xdr:cNvPr>
        <xdr:cNvPicPr>
          <a:picLocks noChangeAspect="1"/>
        </xdr:cNvPicPr>
      </xdr:nvPicPr>
      <xdr:blipFill>
        <a:blip xmlns:r="http://schemas.openxmlformats.org/officeDocument/2006/relationships" r:embed="rId48"/>
        <a:stretch>
          <a:fillRect/>
        </a:stretch>
      </xdr:blipFill>
      <xdr:spPr>
        <a:xfrm>
          <a:off x="115178" y="3623954"/>
          <a:ext cx="833033" cy="793331"/>
        </a:xfrm>
        <a:prstGeom prst="rect">
          <a:avLst/>
        </a:prstGeom>
      </xdr:spPr>
    </xdr:pic>
    <xdr:clientData/>
  </xdr:oneCellAnchor>
  <xdr:oneCellAnchor>
    <xdr:from>
      <xdr:col>0</xdr:col>
      <xdr:colOff>162171</xdr:colOff>
      <xdr:row>15</xdr:row>
      <xdr:rowOff>1448963</xdr:rowOff>
    </xdr:from>
    <xdr:ext cx="725970" cy="710366"/>
    <xdr:pic>
      <xdr:nvPicPr>
        <xdr:cNvPr id="88" name="Рисунок 87">
          <a:extLst>
            <a:ext uri="{FF2B5EF4-FFF2-40B4-BE49-F238E27FC236}">
              <a16:creationId xmlns:a16="http://schemas.microsoft.com/office/drawing/2014/main" xmlns="" id="{00000000-0008-0000-0C00-000058000000}"/>
            </a:ext>
          </a:extLst>
        </xdr:cNvPr>
        <xdr:cNvPicPr>
          <a:picLocks noChangeAspect="1"/>
        </xdr:cNvPicPr>
      </xdr:nvPicPr>
      <xdr:blipFill>
        <a:blip xmlns:r="http://schemas.openxmlformats.org/officeDocument/2006/relationships" r:embed="rId49"/>
        <a:stretch>
          <a:fillRect/>
        </a:stretch>
      </xdr:blipFill>
      <xdr:spPr>
        <a:xfrm>
          <a:off x="162171" y="3049163"/>
          <a:ext cx="725970" cy="710366"/>
        </a:xfrm>
        <a:prstGeom prst="rect">
          <a:avLst/>
        </a:prstGeom>
      </xdr:spPr>
    </xdr:pic>
    <xdr:clientData/>
  </xdr:oneCellAnchor>
  <xdr:oneCellAnchor>
    <xdr:from>
      <xdr:col>0</xdr:col>
      <xdr:colOff>151592</xdr:colOff>
      <xdr:row>18</xdr:row>
      <xdr:rowOff>1114067</xdr:rowOff>
    </xdr:from>
    <xdr:ext cx="742476" cy="733845"/>
    <xdr:pic>
      <xdr:nvPicPr>
        <xdr:cNvPr id="89" name="Рисунок 88">
          <a:extLst>
            <a:ext uri="{FF2B5EF4-FFF2-40B4-BE49-F238E27FC236}">
              <a16:creationId xmlns:a16="http://schemas.microsoft.com/office/drawing/2014/main" xmlns="" id="{00000000-0008-0000-0C00-000059000000}"/>
            </a:ext>
          </a:extLst>
        </xdr:cNvPr>
        <xdr:cNvPicPr>
          <a:picLocks noChangeAspect="1"/>
        </xdr:cNvPicPr>
      </xdr:nvPicPr>
      <xdr:blipFill>
        <a:blip xmlns:r="http://schemas.openxmlformats.org/officeDocument/2006/relationships" r:embed="rId50"/>
        <a:stretch>
          <a:fillRect/>
        </a:stretch>
      </xdr:blipFill>
      <xdr:spPr>
        <a:xfrm>
          <a:off x="151592" y="3619142"/>
          <a:ext cx="742476" cy="733845"/>
        </a:xfrm>
        <a:prstGeom prst="rect">
          <a:avLst/>
        </a:prstGeom>
      </xdr:spPr>
    </xdr:pic>
    <xdr:clientData/>
  </xdr:oneCellAnchor>
  <xdr:twoCellAnchor>
    <xdr:from>
      <xdr:col>1</xdr:col>
      <xdr:colOff>869577</xdr:colOff>
      <xdr:row>17</xdr:row>
      <xdr:rowOff>52927</xdr:rowOff>
    </xdr:from>
    <xdr:to>
      <xdr:col>10</xdr:col>
      <xdr:colOff>207596</xdr:colOff>
      <xdr:row>18</xdr:row>
      <xdr:rowOff>354135</xdr:rowOff>
    </xdr:to>
    <xdr:sp macro="" textlink="">
      <xdr:nvSpPr>
        <xdr:cNvPr id="90" name="TextBox 89">
          <a:extLst>
            <a:ext uri="{FF2B5EF4-FFF2-40B4-BE49-F238E27FC236}">
              <a16:creationId xmlns:a16="http://schemas.microsoft.com/office/drawing/2014/main" xmlns="" id="{00000000-0008-0000-0C00-00005A000000}"/>
            </a:ext>
          </a:extLst>
        </xdr:cNvPr>
        <xdr:cNvSpPr txBox="1"/>
      </xdr:nvSpPr>
      <xdr:spPr>
        <a:xfrm>
          <a:off x="1222002" y="3291427"/>
          <a:ext cx="5081594" cy="3297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600"/>
            </a:spcBef>
            <a:spcAft>
              <a:spcPts val="0"/>
            </a:spcAft>
            <a:buClrTx/>
            <a:buSzTx/>
            <a:buFont typeface="Wingdings" panose="05000000000000000000" pitchFamily="2" charset="2"/>
            <a:buNone/>
            <a:tabLst/>
            <a:defRPr/>
          </a:pPr>
          <a:r>
            <a:rPr lang="ru-RU" sz="1100" b="1" i="0" baseline="0">
              <a:solidFill>
                <a:schemeClr val="dk1"/>
              </a:solidFill>
              <a:effectLst/>
              <a:latin typeface="+mn-lt"/>
              <a:ea typeface="+mn-ea"/>
              <a:cs typeface="+mn-cs"/>
            </a:rPr>
            <a:t>Прозрачное преобразование жестких дисков — </a:t>
          </a:r>
          <a:r>
            <a:rPr lang="ru-RU" sz="1100" b="0" i="0" baseline="0">
              <a:solidFill>
                <a:schemeClr val="dk1"/>
              </a:solidFill>
              <a:effectLst/>
              <a:latin typeface="+mn-lt"/>
              <a:ea typeface="+mn-ea"/>
              <a:cs typeface="+mn-cs"/>
            </a:rPr>
            <a:t>обеспечивает автоматическое преобразование данных на локальных и съемных дисках, защищая их при попытках доступа вне системы защиты </a:t>
          </a:r>
          <a:r>
            <a:rPr lang="en-US" sz="1100" b="0" i="0" baseline="0">
              <a:solidFill>
                <a:schemeClr val="dk1"/>
              </a:solidFill>
              <a:effectLst/>
              <a:latin typeface="+mn-lt"/>
              <a:ea typeface="+mn-ea"/>
              <a:cs typeface="+mn-cs"/>
            </a:rPr>
            <a:t>Dallas Lock</a:t>
          </a:r>
          <a:endParaRPr lang="ru-RU" sz="1100" b="0" i="0" baseline="0">
            <a:solidFill>
              <a:schemeClr val="dk1"/>
            </a:solidFill>
            <a:effectLst/>
            <a:latin typeface="+mn-lt"/>
            <a:ea typeface="+mn-ea"/>
            <a:cs typeface="+mn-cs"/>
          </a:endParaRPr>
        </a:p>
      </xdr:txBody>
    </xdr:sp>
    <xdr:clientData/>
  </xdr:twoCellAnchor>
  <xdr:twoCellAnchor>
    <xdr:from>
      <xdr:col>1</xdr:col>
      <xdr:colOff>887506</xdr:colOff>
      <xdr:row>18</xdr:row>
      <xdr:rowOff>1152466</xdr:rowOff>
    </xdr:from>
    <xdr:to>
      <xdr:col>12</xdr:col>
      <xdr:colOff>240195</xdr:colOff>
      <xdr:row>18</xdr:row>
      <xdr:rowOff>1961033</xdr:rowOff>
    </xdr:to>
    <xdr:sp macro="" textlink="">
      <xdr:nvSpPr>
        <xdr:cNvPr id="91" name="TextBox 90">
          <a:extLst>
            <a:ext uri="{FF2B5EF4-FFF2-40B4-BE49-F238E27FC236}">
              <a16:creationId xmlns:a16="http://schemas.microsoft.com/office/drawing/2014/main" xmlns="" id="{00000000-0008-0000-0C00-00005B000000}"/>
            </a:ext>
          </a:extLst>
        </xdr:cNvPr>
        <xdr:cNvSpPr txBox="1"/>
      </xdr:nvSpPr>
      <xdr:spPr>
        <a:xfrm>
          <a:off x="1220881" y="3619441"/>
          <a:ext cx="6334514"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600"/>
            </a:spcBef>
            <a:spcAft>
              <a:spcPts val="0"/>
            </a:spcAft>
            <a:buClrTx/>
            <a:buSzTx/>
            <a:buFont typeface="Wingdings" panose="05000000000000000000" pitchFamily="2" charset="2"/>
            <a:buNone/>
            <a:tabLst/>
            <a:defRPr/>
          </a:pPr>
          <a:r>
            <a:rPr lang="ru-RU" sz="1100" b="1" i="0" baseline="0">
              <a:solidFill>
                <a:schemeClr val="dk1"/>
              </a:solidFill>
              <a:effectLst/>
              <a:latin typeface="+mn-lt"/>
              <a:ea typeface="+mn-ea"/>
              <a:cs typeface="+mn-cs"/>
            </a:rPr>
            <a:t>Расширенные параметры очистки остаточной информации в конфиденциальных сеансах доступа — </a:t>
          </a:r>
          <a:r>
            <a:rPr lang="ru-RU" sz="1100" b="0" i="0" baseline="0">
              <a:solidFill>
                <a:schemeClr val="dk1"/>
              </a:solidFill>
              <a:effectLst/>
              <a:latin typeface="+mn-lt"/>
              <a:ea typeface="+mn-ea"/>
              <a:cs typeface="+mn-cs"/>
            </a:rPr>
            <a:t>автоматическая зачистка освобождаемого дискового пространства при удалении или изменении файлов в конфиденциальных сеансах, защищая данные при работе с повышенными уровнями доступа</a:t>
          </a:r>
        </a:p>
      </xdr:txBody>
    </xdr:sp>
    <xdr:clientData/>
  </xdr:twoCellAnchor>
  <xdr:twoCellAnchor>
    <xdr:from>
      <xdr:col>1</xdr:col>
      <xdr:colOff>888383</xdr:colOff>
      <xdr:row>18</xdr:row>
      <xdr:rowOff>450295</xdr:rowOff>
    </xdr:from>
    <xdr:to>
      <xdr:col>11</xdr:col>
      <xdr:colOff>347869</xdr:colOff>
      <xdr:row>18</xdr:row>
      <xdr:rowOff>1016816</xdr:rowOff>
    </xdr:to>
    <xdr:sp macro="" textlink="">
      <xdr:nvSpPr>
        <xdr:cNvPr id="92" name="TextBox 91">
          <a:extLst>
            <a:ext uri="{FF2B5EF4-FFF2-40B4-BE49-F238E27FC236}">
              <a16:creationId xmlns:a16="http://schemas.microsoft.com/office/drawing/2014/main" xmlns="" id="{00000000-0008-0000-0C00-00005C000000}"/>
            </a:ext>
          </a:extLst>
        </xdr:cNvPr>
        <xdr:cNvSpPr txBox="1"/>
      </xdr:nvSpPr>
      <xdr:spPr>
        <a:xfrm>
          <a:off x="1221758" y="3622120"/>
          <a:ext cx="5831711"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600"/>
            </a:spcBef>
            <a:spcAft>
              <a:spcPts val="0"/>
            </a:spcAft>
            <a:buClrTx/>
            <a:buSzTx/>
            <a:buFont typeface="Wingdings" panose="05000000000000000000" pitchFamily="2" charset="2"/>
            <a:buNone/>
            <a:tabLst/>
            <a:defRPr/>
          </a:pPr>
          <a:r>
            <a:rPr lang="ru-RU" sz="1100" b="1" i="0" baseline="0">
              <a:solidFill>
                <a:schemeClr val="dk1"/>
              </a:solidFill>
              <a:effectLst/>
              <a:latin typeface="+mn-lt"/>
              <a:ea typeface="+mn-ea"/>
              <a:cs typeface="+mn-cs"/>
            </a:rPr>
            <a:t>Мандатный принцип разграничения доступа — </a:t>
          </a:r>
          <a:r>
            <a:rPr lang="ru-RU" sz="1100" b="0" i="0" baseline="0">
              <a:solidFill>
                <a:schemeClr val="dk1"/>
              </a:solidFill>
              <a:effectLst/>
              <a:latin typeface="+mn-lt"/>
              <a:ea typeface="+mn-ea"/>
              <a:cs typeface="+mn-cs"/>
            </a:rPr>
            <a:t>устанавливает уровни доступа к файлам и устройствам в зависимости от их важности и присвоенных мандатных меток, что обеспечивает строгий контроль над доступом</a:t>
          </a:r>
        </a:p>
      </xdr:txBody>
    </xdr:sp>
    <xdr:clientData/>
  </xdr:twoCellAnchor>
  <xdr:twoCellAnchor>
    <xdr:from>
      <xdr:col>1</xdr:col>
      <xdr:colOff>887629</xdr:colOff>
      <xdr:row>18</xdr:row>
      <xdr:rowOff>2055661</xdr:rowOff>
    </xdr:from>
    <xdr:to>
      <xdr:col>12</xdr:col>
      <xdr:colOff>313108</xdr:colOff>
      <xdr:row>18</xdr:row>
      <xdr:rowOff>2812678</xdr:rowOff>
    </xdr:to>
    <xdr:sp macro="" textlink="">
      <xdr:nvSpPr>
        <xdr:cNvPr id="93" name="TextBox 92">
          <a:extLst>
            <a:ext uri="{FF2B5EF4-FFF2-40B4-BE49-F238E27FC236}">
              <a16:creationId xmlns:a16="http://schemas.microsoft.com/office/drawing/2014/main" xmlns="" id="{00000000-0008-0000-0C00-00005D000000}"/>
            </a:ext>
          </a:extLst>
        </xdr:cNvPr>
        <xdr:cNvSpPr txBox="1"/>
      </xdr:nvSpPr>
      <xdr:spPr>
        <a:xfrm>
          <a:off x="1221004" y="3617761"/>
          <a:ext cx="6407304" cy="45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600"/>
            </a:spcBef>
            <a:spcAft>
              <a:spcPts val="0"/>
            </a:spcAft>
            <a:buClrTx/>
            <a:buSzTx/>
            <a:buFont typeface="Wingdings" panose="05000000000000000000" pitchFamily="2" charset="2"/>
            <a:buNone/>
            <a:tabLst/>
            <a:defRPr/>
          </a:pPr>
          <a:r>
            <a:rPr lang="ru-RU" b="1"/>
            <a:t>Средство контроля съёмных носителей информации (СКН)</a:t>
          </a:r>
          <a:r>
            <a:rPr lang="ru-RU"/>
            <a:t> сертифицирован по 2 классу защиты информации (ИТ.СКН.П2.ПЗ и ИТ.СОВ.У4.ПЗ). Дополнительно реализована возможность назначения мандатных уровней на сменный накопитель для отдельных пользователей или групп пользователей</a:t>
          </a:r>
          <a:endParaRPr lang="ru-RU" sz="1100" b="0" i="0" baseline="0">
            <a:solidFill>
              <a:schemeClr val="dk1"/>
            </a:solidFill>
            <a:effectLst/>
            <a:latin typeface="+mn-lt"/>
            <a:ea typeface="+mn-ea"/>
            <a:cs typeface="+mn-cs"/>
          </a:endParaRPr>
        </a:p>
      </xdr:txBody>
    </xdr:sp>
    <xdr:clientData/>
  </xdr:twoCellAnchor>
  <xdr:oneCellAnchor>
    <xdr:from>
      <xdr:col>3</xdr:col>
      <xdr:colOff>161737</xdr:colOff>
      <xdr:row>29</xdr:row>
      <xdr:rowOff>21995</xdr:rowOff>
    </xdr:from>
    <xdr:ext cx="774364" cy="341846"/>
    <xdr:pic>
      <xdr:nvPicPr>
        <xdr:cNvPr id="94" name="Picture 8">
          <a:extLst>
            <a:ext uri="{FF2B5EF4-FFF2-40B4-BE49-F238E27FC236}">
              <a16:creationId xmlns:a16="http://schemas.microsoft.com/office/drawing/2014/main" xmlns="" id="{00000000-0008-0000-0C00-00005E000000}"/>
            </a:ext>
          </a:extLst>
        </xdr:cNvPr>
        <xdr:cNvPicPr>
          <a:picLocks noChangeAspect="1" noChangeArrowheads="1"/>
        </xdr:cNvPicPr>
      </xdr:nvPicPr>
      <xdr:blipFill>
        <a:blip xmlns:r="http://schemas.openxmlformats.org/officeDocument/2006/relationships" r:embed="rId51">
          <a:extLst>
            <a:ext uri="{BEBA8EAE-BF5A-486C-A8C5-ECC9F3942E4B}">
              <a14:imgProps xmlns:a14="http://schemas.microsoft.com/office/drawing/2010/main">
                <a14:imgLayer r:embed="rId52">
                  <a14:imgEffect>
                    <a14:backgroundRemoval t="7692" b="89744" l="9412" r="95294">
                      <a14:foregroundMark x1="25882" y1="12821" x2="70588" y2="71795"/>
                      <a14:foregroundMark x1="70588" y1="71795" x2="89412" y2="46154"/>
                      <a14:foregroundMark x1="89412" y1="46154" x2="83529" y2="69231"/>
                      <a14:foregroundMark x1="88235" y1="23077" x2="84706" y2="30769"/>
                      <a14:foregroundMark x1="94118" y1="17949" x2="95294" y2="87179"/>
                      <a14:foregroundMark x1="31765" y1="82051" x2="31765" y2="82051"/>
                    </a14:backgroundRemoval>
                  </a14:imgEffect>
                </a14:imgLayer>
              </a14:imgProps>
            </a:ext>
            <a:ext uri="{28A0092B-C50C-407E-A947-70E740481C1C}">
              <a14:useLocalDpi xmlns:a14="http://schemas.microsoft.com/office/drawing/2010/main"/>
            </a:ext>
          </a:extLst>
        </a:blip>
        <a:srcRect/>
        <a:stretch>
          <a:fillRect/>
        </a:stretch>
      </xdr:blipFill>
      <xdr:spPr bwMode="auto">
        <a:xfrm>
          <a:off x="1990537" y="5546495"/>
          <a:ext cx="774364" cy="34184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oneCellAnchor>
    <xdr:from>
      <xdr:col>4</xdr:col>
      <xdr:colOff>382020</xdr:colOff>
      <xdr:row>28</xdr:row>
      <xdr:rowOff>124904</xdr:rowOff>
    </xdr:from>
    <xdr:ext cx="409596" cy="491800"/>
    <xdr:pic>
      <xdr:nvPicPr>
        <xdr:cNvPr id="95" name="Рисунок 94">
          <a:extLst>
            <a:ext uri="{FF2B5EF4-FFF2-40B4-BE49-F238E27FC236}">
              <a16:creationId xmlns:a16="http://schemas.microsoft.com/office/drawing/2014/main" xmlns="" id="{00000000-0008-0000-0C00-00005F000000}"/>
            </a:ext>
          </a:extLst>
        </xdr:cNvPr>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820420" y="5458904"/>
          <a:ext cx="409596" cy="491800"/>
        </a:xfrm>
        <a:prstGeom prst="rect">
          <a:avLst/>
        </a:prstGeom>
      </xdr:spPr>
    </xdr:pic>
    <xdr:clientData/>
  </xdr:oneCellAnchor>
  <xdr:twoCellAnchor>
    <xdr:from>
      <xdr:col>3</xdr:col>
      <xdr:colOff>523229</xdr:colOff>
      <xdr:row>27</xdr:row>
      <xdr:rowOff>40346</xdr:rowOff>
    </xdr:from>
    <xdr:to>
      <xdr:col>4</xdr:col>
      <xdr:colOff>588340</xdr:colOff>
      <xdr:row>28</xdr:row>
      <xdr:rowOff>111463</xdr:rowOff>
    </xdr:to>
    <xdr:sp macro="" textlink="">
      <xdr:nvSpPr>
        <xdr:cNvPr id="96" name="Стрелка: изогнутая вверх 95">
          <a:extLst>
            <a:ext uri="{FF2B5EF4-FFF2-40B4-BE49-F238E27FC236}">
              <a16:creationId xmlns:a16="http://schemas.microsoft.com/office/drawing/2014/main" xmlns="" id="{00000000-0008-0000-0C00-000060000000}"/>
            </a:ext>
          </a:extLst>
        </xdr:cNvPr>
        <xdr:cNvSpPr/>
      </xdr:nvSpPr>
      <xdr:spPr>
        <a:xfrm rot="10800000" flipH="1">
          <a:off x="2352029" y="5183846"/>
          <a:ext cx="674711" cy="261617"/>
        </a:xfrm>
        <a:prstGeom prst="curvedUpArrow">
          <a:avLst/>
        </a:prstGeom>
        <a:solidFill>
          <a:schemeClr val="tx2">
            <a:lumMod val="20000"/>
            <a:lumOff val="80000"/>
          </a:schemeClr>
        </a:solidFill>
        <a:ln>
          <a:solidFill>
            <a:schemeClr val="tx2">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ru-RU"/>
          </a:defPPr>
          <a:lvl1pPr marL="0" algn="l" defTabSz="1727699" rtl="0" eaLnBrk="1" latinLnBrk="0" hangingPunct="1">
            <a:defRPr sz="3400" kern="1200">
              <a:solidFill>
                <a:schemeClr val="lt1"/>
              </a:solidFill>
              <a:latin typeface="+mn-lt"/>
              <a:ea typeface="+mn-ea"/>
              <a:cs typeface="+mn-cs"/>
            </a:defRPr>
          </a:lvl1pPr>
          <a:lvl2pPr marL="863849" algn="l" defTabSz="1727699" rtl="0" eaLnBrk="1" latinLnBrk="0" hangingPunct="1">
            <a:defRPr sz="3400" kern="1200">
              <a:solidFill>
                <a:schemeClr val="lt1"/>
              </a:solidFill>
              <a:latin typeface="+mn-lt"/>
              <a:ea typeface="+mn-ea"/>
              <a:cs typeface="+mn-cs"/>
            </a:defRPr>
          </a:lvl2pPr>
          <a:lvl3pPr marL="1727699" algn="l" defTabSz="1727699" rtl="0" eaLnBrk="1" latinLnBrk="0" hangingPunct="1">
            <a:defRPr sz="3400" kern="1200">
              <a:solidFill>
                <a:schemeClr val="lt1"/>
              </a:solidFill>
              <a:latin typeface="+mn-lt"/>
              <a:ea typeface="+mn-ea"/>
              <a:cs typeface="+mn-cs"/>
            </a:defRPr>
          </a:lvl3pPr>
          <a:lvl4pPr marL="2591548" algn="l" defTabSz="1727699" rtl="0" eaLnBrk="1" latinLnBrk="0" hangingPunct="1">
            <a:defRPr sz="3400" kern="1200">
              <a:solidFill>
                <a:schemeClr val="lt1"/>
              </a:solidFill>
              <a:latin typeface="+mn-lt"/>
              <a:ea typeface="+mn-ea"/>
              <a:cs typeface="+mn-cs"/>
            </a:defRPr>
          </a:lvl4pPr>
          <a:lvl5pPr marL="3455397" algn="l" defTabSz="1727699" rtl="0" eaLnBrk="1" latinLnBrk="0" hangingPunct="1">
            <a:defRPr sz="3400" kern="1200">
              <a:solidFill>
                <a:schemeClr val="lt1"/>
              </a:solidFill>
              <a:latin typeface="+mn-lt"/>
              <a:ea typeface="+mn-ea"/>
              <a:cs typeface="+mn-cs"/>
            </a:defRPr>
          </a:lvl5pPr>
          <a:lvl6pPr marL="4319249" algn="l" defTabSz="1727699" rtl="0" eaLnBrk="1" latinLnBrk="0" hangingPunct="1">
            <a:defRPr sz="3400" kern="1200">
              <a:solidFill>
                <a:schemeClr val="lt1"/>
              </a:solidFill>
              <a:latin typeface="+mn-lt"/>
              <a:ea typeface="+mn-ea"/>
              <a:cs typeface="+mn-cs"/>
            </a:defRPr>
          </a:lvl6pPr>
          <a:lvl7pPr marL="5183098" algn="l" defTabSz="1727699" rtl="0" eaLnBrk="1" latinLnBrk="0" hangingPunct="1">
            <a:defRPr sz="3400" kern="1200">
              <a:solidFill>
                <a:schemeClr val="lt1"/>
              </a:solidFill>
              <a:latin typeface="+mn-lt"/>
              <a:ea typeface="+mn-ea"/>
              <a:cs typeface="+mn-cs"/>
            </a:defRPr>
          </a:lvl7pPr>
          <a:lvl8pPr marL="6046950" algn="l" defTabSz="1727699" rtl="0" eaLnBrk="1" latinLnBrk="0" hangingPunct="1">
            <a:defRPr sz="3400" kern="1200">
              <a:solidFill>
                <a:schemeClr val="lt1"/>
              </a:solidFill>
              <a:latin typeface="+mn-lt"/>
              <a:ea typeface="+mn-ea"/>
              <a:cs typeface="+mn-cs"/>
            </a:defRPr>
          </a:lvl8pPr>
          <a:lvl9pPr marL="6910799" algn="l" defTabSz="1727699" rtl="0" eaLnBrk="1" latinLnBrk="0" hangingPunct="1">
            <a:defRPr sz="3400" kern="1200">
              <a:solidFill>
                <a:schemeClr val="lt1"/>
              </a:solidFill>
              <a:latin typeface="+mn-lt"/>
              <a:ea typeface="+mn-ea"/>
              <a:cs typeface="+mn-cs"/>
            </a:defRPr>
          </a:lvl9pPr>
        </a:lstStyle>
        <a:p>
          <a:pPr algn="ctr"/>
          <a:endParaRPr lang="ru-RU">
            <a:solidFill>
              <a:schemeClr val="tx1"/>
            </a:solidFill>
          </a:endParaRPr>
        </a:p>
      </xdr:txBody>
    </xdr:sp>
    <xdr:clientData/>
  </xdr:twoCellAnchor>
  <xdr:twoCellAnchor>
    <xdr:from>
      <xdr:col>1</xdr:col>
      <xdr:colOff>2178797</xdr:colOff>
      <xdr:row>31</xdr:row>
      <xdr:rowOff>21110</xdr:rowOff>
    </xdr:from>
    <xdr:to>
      <xdr:col>6</xdr:col>
      <xdr:colOff>409761</xdr:colOff>
      <xdr:row>34</xdr:row>
      <xdr:rowOff>58622</xdr:rowOff>
    </xdr:to>
    <xdr:sp macro="" textlink="">
      <xdr:nvSpPr>
        <xdr:cNvPr id="97" name="Прямоугольник 96">
          <a:extLst>
            <a:ext uri="{FF2B5EF4-FFF2-40B4-BE49-F238E27FC236}">
              <a16:creationId xmlns:a16="http://schemas.microsoft.com/office/drawing/2014/main" xmlns="" id="{00000000-0008-0000-0C00-000061000000}"/>
            </a:ext>
          </a:extLst>
        </xdr:cNvPr>
        <xdr:cNvSpPr/>
      </xdr:nvSpPr>
      <xdr:spPr>
        <a:xfrm>
          <a:off x="1216772" y="5926610"/>
          <a:ext cx="2850589" cy="609012"/>
        </a:xfrm>
        <a:prstGeom prst="rect">
          <a:avLst/>
        </a:prstGeom>
      </xdr:spPr>
      <xdr:txBody>
        <a:bodyPr wrap="square">
          <a:spAutoFit/>
        </a:bodyPr>
        <a:lstStyle>
          <a:defPPr>
            <a:defRPr lang="ru-RU"/>
          </a:defPPr>
          <a:lvl1pPr marL="0" algn="l" defTabSz="1727699" rtl="0" eaLnBrk="1" latinLnBrk="0" hangingPunct="1">
            <a:defRPr sz="3400" kern="1200">
              <a:solidFill>
                <a:schemeClr val="tx1"/>
              </a:solidFill>
              <a:latin typeface="+mn-lt"/>
              <a:ea typeface="+mn-ea"/>
              <a:cs typeface="+mn-cs"/>
            </a:defRPr>
          </a:lvl1pPr>
          <a:lvl2pPr marL="863849" algn="l" defTabSz="1727699" rtl="0" eaLnBrk="1" latinLnBrk="0" hangingPunct="1">
            <a:defRPr sz="3400" kern="1200">
              <a:solidFill>
                <a:schemeClr val="tx1"/>
              </a:solidFill>
              <a:latin typeface="+mn-lt"/>
              <a:ea typeface="+mn-ea"/>
              <a:cs typeface="+mn-cs"/>
            </a:defRPr>
          </a:lvl2pPr>
          <a:lvl3pPr marL="1727699" algn="l" defTabSz="1727699" rtl="0" eaLnBrk="1" latinLnBrk="0" hangingPunct="1">
            <a:defRPr sz="3400" kern="1200">
              <a:solidFill>
                <a:schemeClr val="tx1"/>
              </a:solidFill>
              <a:latin typeface="+mn-lt"/>
              <a:ea typeface="+mn-ea"/>
              <a:cs typeface="+mn-cs"/>
            </a:defRPr>
          </a:lvl3pPr>
          <a:lvl4pPr marL="2591548" algn="l" defTabSz="1727699" rtl="0" eaLnBrk="1" latinLnBrk="0" hangingPunct="1">
            <a:defRPr sz="3400" kern="1200">
              <a:solidFill>
                <a:schemeClr val="tx1"/>
              </a:solidFill>
              <a:latin typeface="+mn-lt"/>
              <a:ea typeface="+mn-ea"/>
              <a:cs typeface="+mn-cs"/>
            </a:defRPr>
          </a:lvl4pPr>
          <a:lvl5pPr marL="3455397" algn="l" defTabSz="1727699" rtl="0" eaLnBrk="1" latinLnBrk="0" hangingPunct="1">
            <a:defRPr sz="3400" kern="1200">
              <a:solidFill>
                <a:schemeClr val="tx1"/>
              </a:solidFill>
              <a:latin typeface="+mn-lt"/>
              <a:ea typeface="+mn-ea"/>
              <a:cs typeface="+mn-cs"/>
            </a:defRPr>
          </a:lvl5pPr>
          <a:lvl6pPr marL="4319249" algn="l" defTabSz="1727699" rtl="0" eaLnBrk="1" latinLnBrk="0" hangingPunct="1">
            <a:defRPr sz="3400" kern="1200">
              <a:solidFill>
                <a:schemeClr val="tx1"/>
              </a:solidFill>
              <a:latin typeface="+mn-lt"/>
              <a:ea typeface="+mn-ea"/>
              <a:cs typeface="+mn-cs"/>
            </a:defRPr>
          </a:lvl6pPr>
          <a:lvl7pPr marL="5183098" algn="l" defTabSz="1727699" rtl="0" eaLnBrk="1" latinLnBrk="0" hangingPunct="1">
            <a:defRPr sz="3400" kern="1200">
              <a:solidFill>
                <a:schemeClr val="tx1"/>
              </a:solidFill>
              <a:latin typeface="+mn-lt"/>
              <a:ea typeface="+mn-ea"/>
              <a:cs typeface="+mn-cs"/>
            </a:defRPr>
          </a:lvl7pPr>
          <a:lvl8pPr marL="6046950" algn="l" defTabSz="1727699" rtl="0" eaLnBrk="1" latinLnBrk="0" hangingPunct="1">
            <a:defRPr sz="3400" kern="1200">
              <a:solidFill>
                <a:schemeClr val="tx1"/>
              </a:solidFill>
              <a:latin typeface="+mn-lt"/>
              <a:ea typeface="+mn-ea"/>
              <a:cs typeface="+mn-cs"/>
            </a:defRPr>
          </a:lvl8pPr>
          <a:lvl9pPr marL="6910799" algn="l" defTabSz="1727699" rtl="0" eaLnBrk="1" latinLnBrk="0" hangingPunct="1">
            <a:defRPr sz="3400" kern="1200">
              <a:solidFill>
                <a:schemeClr val="tx1"/>
              </a:solidFill>
              <a:latin typeface="+mn-lt"/>
              <a:ea typeface="+mn-ea"/>
              <a:cs typeface="+mn-cs"/>
            </a:defRPr>
          </a:lvl9pPr>
        </a:lstStyle>
        <a:p>
          <a:pPr algn="ctr">
            <a:spcAft>
              <a:spcPts val="1200"/>
            </a:spcAft>
            <a:defRPr/>
          </a:pPr>
          <a:r>
            <a:rPr lang="ru-RU" sz="1100" b="1">
              <a:solidFill>
                <a:schemeClr val="dk1"/>
              </a:solidFill>
              <a:effectLst/>
              <a:latin typeface="+mn-lt"/>
              <a:ea typeface="+mn-ea"/>
              <a:cs typeface="+mn-cs"/>
            </a:rPr>
            <a:t>Миграция клиентов с СБ </a:t>
          </a:r>
          <a:r>
            <a:rPr lang="en-US" sz="1100" b="1">
              <a:solidFill>
                <a:schemeClr val="dk1"/>
              </a:solidFill>
              <a:effectLst/>
              <a:latin typeface="+mn-lt"/>
              <a:ea typeface="+mn-ea"/>
              <a:cs typeface="+mn-cs"/>
            </a:rPr>
            <a:t>Dallas Lock 8.0</a:t>
          </a:r>
          <a:r>
            <a:rPr lang="ru-RU" sz="1100" b="1">
              <a:solidFill>
                <a:schemeClr val="dk1"/>
              </a:solidFill>
              <a:effectLst/>
              <a:latin typeface="+mn-lt"/>
              <a:ea typeface="+mn-ea"/>
              <a:cs typeface="+mn-cs"/>
            </a:rPr>
            <a:t> на ЕЦУ с сохранением настроенных параметров</a:t>
          </a:r>
        </a:p>
      </xdr:txBody>
    </xdr:sp>
    <xdr:clientData/>
  </xdr:twoCellAnchor>
  <xdr:twoCellAnchor>
    <xdr:from>
      <xdr:col>5</xdr:col>
      <xdr:colOff>582980</xdr:colOff>
      <xdr:row>58</xdr:row>
      <xdr:rowOff>156936</xdr:rowOff>
    </xdr:from>
    <xdr:to>
      <xdr:col>6</xdr:col>
      <xdr:colOff>583349</xdr:colOff>
      <xdr:row>69</xdr:row>
      <xdr:rowOff>79886</xdr:rowOff>
    </xdr:to>
    <xdr:sp macro="" textlink="">
      <xdr:nvSpPr>
        <xdr:cNvPr id="98" name="Левая фигурная скобка 97">
          <a:extLst>
            <a:ext uri="{FF2B5EF4-FFF2-40B4-BE49-F238E27FC236}">
              <a16:creationId xmlns:a16="http://schemas.microsoft.com/office/drawing/2014/main" xmlns="" id="{00000000-0008-0000-0C00-000062000000}"/>
            </a:ext>
          </a:extLst>
        </xdr:cNvPr>
        <xdr:cNvSpPr/>
      </xdr:nvSpPr>
      <xdr:spPr>
        <a:xfrm rot="10800000">
          <a:off x="3630980" y="11205936"/>
          <a:ext cx="609969" cy="2018450"/>
        </a:xfrm>
        <a:prstGeom prst="leftBrace">
          <a:avLst>
            <a:gd name="adj1" fmla="val 65476"/>
            <a:gd name="adj2" fmla="val 50000"/>
          </a:avLst>
        </a:prstGeom>
        <a:noFill/>
        <a:ln w="76200">
          <a:solidFill>
            <a:srgbClr val="CBDCEB"/>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ru-RU"/>
          </a:defPPr>
          <a:lvl1pPr marL="0" algn="l" defTabSz="1727699" rtl="0" eaLnBrk="1" latinLnBrk="0" hangingPunct="1">
            <a:defRPr sz="3400" kern="1200">
              <a:solidFill>
                <a:schemeClr val="tx1"/>
              </a:solidFill>
              <a:latin typeface="+mn-lt"/>
              <a:ea typeface="+mn-ea"/>
              <a:cs typeface="+mn-cs"/>
            </a:defRPr>
          </a:lvl1pPr>
          <a:lvl2pPr marL="863849" algn="l" defTabSz="1727699" rtl="0" eaLnBrk="1" latinLnBrk="0" hangingPunct="1">
            <a:defRPr sz="3400" kern="1200">
              <a:solidFill>
                <a:schemeClr val="tx1"/>
              </a:solidFill>
              <a:latin typeface="+mn-lt"/>
              <a:ea typeface="+mn-ea"/>
              <a:cs typeface="+mn-cs"/>
            </a:defRPr>
          </a:lvl2pPr>
          <a:lvl3pPr marL="1727699" algn="l" defTabSz="1727699" rtl="0" eaLnBrk="1" latinLnBrk="0" hangingPunct="1">
            <a:defRPr sz="3400" kern="1200">
              <a:solidFill>
                <a:schemeClr val="tx1"/>
              </a:solidFill>
              <a:latin typeface="+mn-lt"/>
              <a:ea typeface="+mn-ea"/>
              <a:cs typeface="+mn-cs"/>
            </a:defRPr>
          </a:lvl3pPr>
          <a:lvl4pPr marL="2591548" algn="l" defTabSz="1727699" rtl="0" eaLnBrk="1" latinLnBrk="0" hangingPunct="1">
            <a:defRPr sz="3400" kern="1200">
              <a:solidFill>
                <a:schemeClr val="tx1"/>
              </a:solidFill>
              <a:latin typeface="+mn-lt"/>
              <a:ea typeface="+mn-ea"/>
              <a:cs typeface="+mn-cs"/>
            </a:defRPr>
          </a:lvl4pPr>
          <a:lvl5pPr marL="3455397" algn="l" defTabSz="1727699" rtl="0" eaLnBrk="1" latinLnBrk="0" hangingPunct="1">
            <a:defRPr sz="3400" kern="1200">
              <a:solidFill>
                <a:schemeClr val="tx1"/>
              </a:solidFill>
              <a:latin typeface="+mn-lt"/>
              <a:ea typeface="+mn-ea"/>
              <a:cs typeface="+mn-cs"/>
            </a:defRPr>
          </a:lvl5pPr>
          <a:lvl6pPr marL="4319249" algn="l" defTabSz="1727699" rtl="0" eaLnBrk="1" latinLnBrk="0" hangingPunct="1">
            <a:defRPr sz="3400" kern="1200">
              <a:solidFill>
                <a:schemeClr val="tx1"/>
              </a:solidFill>
              <a:latin typeface="+mn-lt"/>
              <a:ea typeface="+mn-ea"/>
              <a:cs typeface="+mn-cs"/>
            </a:defRPr>
          </a:lvl6pPr>
          <a:lvl7pPr marL="5183098" algn="l" defTabSz="1727699" rtl="0" eaLnBrk="1" latinLnBrk="0" hangingPunct="1">
            <a:defRPr sz="3400" kern="1200">
              <a:solidFill>
                <a:schemeClr val="tx1"/>
              </a:solidFill>
              <a:latin typeface="+mn-lt"/>
              <a:ea typeface="+mn-ea"/>
              <a:cs typeface="+mn-cs"/>
            </a:defRPr>
          </a:lvl7pPr>
          <a:lvl8pPr marL="6046950" algn="l" defTabSz="1727699" rtl="0" eaLnBrk="1" latinLnBrk="0" hangingPunct="1">
            <a:defRPr sz="3400" kern="1200">
              <a:solidFill>
                <a:schemeClr val="tx1"/>
              </a:solidFill>
              <a:latin typeface="+mn-lt"/>
              <a:ea typeface="+mn-ea"/>
              <a:cs typeface="+mn-cs"/>
            </a:defRPr>
          </a:lvl8pPr>
          <a:lvl9pPr marL="6910799" algn="l" defTabSz="1727699" rtl="0" eaLnBrk="1" latinLnBrk="0" hangingPunct="1">
            <a:defRPr sz="3400" kern="1200">
              <a:solidFill>
                <a:schemeClr val="tx1"/>
              </a:solidFill>
              <a:latin typeface="+mn-lt"/>
              <a:ea typeface="+mn-ea"/>
              <a:cs typeface="+mn-cs"/>
            </a:defRPr>
          </a:lvl9pPr>
        </a:lstStyle>
        <a:p>
          <a:pPr algn="ctr"/>
          <a:endParaRPr lang="ru-RU" sz="4518"/>
        </a:p>
      </xdr:txBody>
    </xdr:sp>
    <xdr:clientData/>
  </xdr:twoCellAnchor>
  <xdr:twoCellAnchor>
    <xdr:from>
      <xdr:col>7</xdr:col>
      <xdr:colOff>200577</xdr:colOff>
      <xdr:row>60</xdr:row>
      <xdr:rowOff>49851</xdr:rowOff>
    </xdr:from>
    <xdr:to>
      <xdr:col>14</xdr:col>
      <xdr:colOff>36635</xdr:colOff>
      <xdr:row>70</xdr:row>
      <xdr:rowOff>170057</xdr:rowOff>
    </xdr:to>
    <xdr:sp macro="" textlink="">
      <xdr:nvSpPr>
        <xdr:cNvPr id="99" name="Прямоугольник 98">
          <a:extLst>
            <a:ext uri="{FF2B5EF4-FFF2-40B4-BE49-F238E27FC236}">
              <a16:creationId xmlns:a16="http://schemas.microsoft.com/office/drawing/2014/main" xmlns="" id="{00000000-0008-0000-0C00-000063000000}"/>
            </a:ext>
          </a:extLst>
        </xdr:cNvPr>
        <xdr:cNvSpPr/>
      </xdr:nvSpPr>
      <xdr:spPr>
        <a:xfrm>
          <a:off x="4467777" y="11479851"/>
          <a:ext cx="4103258" cy="2025206"/>
        </a:xfrm>
        <a:prstGeom prst="rect">
          <a:avLst/>
        </a:prstGeom>
      </xdr:spPr>
      <xdr:txBody>
        <a:bodyPr wrap="square">
          <a:noAutofit/>
        </a:bodyPr>
        <a:lstStyle>
          <a:defPPr>
            <a:defRPr lang="ru-RU"/>
          </a:defPPr>
          <a:lvl1pPr marL="0" algn="l" defTabSz="1727699" rtl="0" eaLnBrk="1" latinLnBrk="0" hangingPunct="1">
            <a:defRPr sz="3400" kern="1200">
              <a:solidFill>
                <a:schemeClr val="tx1"/>
              </a:solidFill>
              <a:latin typeface="+mn-lt"/>
              <a:ea typeface="+mn-ea"/>
              <a:cs typeface="+mn-cs"/>
            </a:defRPr>
          </a:lvl1pPr>
          <a:lvl2pPr marL="863849" algn="l" defTabSz="1727699" rtl="0" eaLnBrk="1" latinLnBrk="0" hangingPunct="1">
            <a:defRPr sz="3400" kern="1200">
              <a:solidFill>
                <a:schemeClr val="tx1"/>
              </a:solidFill>
              <a:latin typeface="+mn-lt"/>
              <a:ea typeface="+mn-ea"/>
              <a:cs typeface="+mn-cs"/>
            </a:defRPr>
          </a:lvl2pPr>
          <a:lvl3pPr marL="1727699" algn="l" defTabSz="1727699" rtl="0" eaLnBrk="1" latinLnBrk="0" hangingPunct="1">
            <a:defRPr sz="3400" kern="1200">
              <a:solidFill>
                <a:schemeClr val="tx1"/>
              </a:solidFill>
              <a:latin typeface="+mn-lt"/>
              <a:ea typeface="+mn-ea"/>
              <a:cs typeface="+mn-cs"/>
            </a:defRPr>
          </a:lvl3pPr>
          <a:lvl4pPr marL="2591548" algn="l" defTabSz="1727699" rtl="0" eaLnBrk="1" latinLnBrk="0" hangingPunct="1">
            <a:defRPr sz="3400" kern="1200">
              <a:solidFill>
                <a:schemeClr val="tx1"/>
              </a:solidFill>
              <a:latin typeface="+mn-lt"/>
              <a:ea typeface="+mn-ea"/>
              <a:cs typeface="+mn-cs"/>
            </a:defRPr>
          </a:lvl4pPr>
          <a:lvl5pPr marL="3455397" algn="l" defTabSz="1727699" rtl="0" eaLnBrk="1" latinLnBrk="0" hangingPunct="1">
            <a:defRPr sz="3400" kern="1200">
              <a:solidFill>
                <a:schemeClr val="tx1"/>
              </a:solidFill>
              <a:latin typeface="+mn-lt"/>
              <a:ea typeface="+mn-ea"/>
              <a:cs typeface="+mn-cs"/>
            </a:defRPr>
          </a:lvl5pPr>
          <a:lvl6pPr marL="4319249" algn="l" defTabSz="1727699" rtl="0" eaLnBrk="1" latinLnBrk="0" hangingPunct="1">
            <a:defRPr sz="3400" kern="1200">
              <a:solidFill>
                <a:schemeClr val="tx1"/>
              </a:solidFill>
              <a:latin typeface="+mn-lt"/>
              <a:ea typeface="+mn-ea"/>
              <a:cs typeface="+mn-cs"/>
            </a:defRPr>
          </a:lvl6pPr>
          <a:lvl7pPr marL="5183098" algn="l" defTabSz="1727699" rtl="0" eaLnBrk="1" latinLnBrk="0" hangingPunct="1">
            <a:defRPr sz="3400" kern="1200">
              <a:solidFill>
                <a:schemeClr val="tx1"/>
              </a:solidFill>
              <a:latin typeface="+mn-lt"/>
              <a:ea typeface="+mn-ea"/>
              <a:cs typeface="+mn-cs"/>
            </a:defRPr>
          </a:lvl7pPr>
          <a:lvl8pPr marL="6046950" algn="l" defTabSz="1727699" rtl="0" eaLnBrk="1" latinLnBrk="0" hangingPunct="1">
            <a:defRPr sz="3400" kern="1200">
              <a:solidFill>
                <a:schemeClr val="tx1"/>
              </a:solidFill>
              <a:latin typeface="+mn-lt"/>
              <a:ea typeface="+mn-ea"/>
              <a:cs typeface="+mn-cs"/>
            </a:defRPr>
          </a:lvl8pPr>
          <a:lvl9pPr marL="6910799" algn="l" defTabSz="1727699" rtl="0" eaLnBrk="1" latinLnBrk="0" hangingPunct="1">
            <a:defRPr sz="3400" kern="1200">
              <a:solidFill>
                <a:schemeClr val="tx1"/>
              </a:solidFill>
              <a:latin typeface="+mn-lt"/>
              <a:ea typeface="+mn-ea"/>
              <a:cs typeface="+mn-cs"/>
            </a:defRPr>
          </a:lvl9pPr>
        </a:lstStyle>
        <a:p>
          <a:pPr marL="285750" indent="-285750">
            <a:spcAft>
              <a:spcPts val="1200"/>
            </a:spcAft>
            <a:buFont typeface="Arial" panose="020B0604020202020204" pitchFamily="34" charset="0"/>
            <a:buChar char="•"/>
          </a:pPr>
          <a:r>
            <a:rPr lang="ru-RU" sz="1400" b="1" kern="1200">
              <a:solidFill>
                <a:schemeClr val="dk1"/>
              </a:solidFill>
              <a:effectLst/>
              <a:latin typeface="+mn-lt"/>
              <a:ea typeface="+mn-ea"/>
              <a:cs typeface="+mn-cs"/>
            </a:rPr>
            <a:t>Защита серверов и сервисов корпоративной сети</a:t>
          </a:r>
        </a:p>
        <a:p>
          <a:pPr marL="285750" indent="-285750">
            <a:spcAft>
              <a:spcPts val="1200"/>
            </a:spcAft>
            <a:buFont typeface="Arial" panose="020B0604020202020204" pitchFamily="34" charset="0"/>
            <a:buChar char="•"/>
          </a:pPr>
          <a:r>
            <a:rPr lang="ru-RU" sz="1400" b="1" kern="1200">
              <a:solidFill>
                <a:schemeClr val="dk1"/>
              </a:solidFill>
              <a:effectLst/>
              <a:latin typeface="+mn-lt"/>
              <a:ea typeface="+mn-ea"/>
              <a:cs typeface="+mn-cs"/>
            </a:rPr>
            <a:t>Защита веб-приложения от нелегитимных запросов «из коробки»</a:t>
          </a:r>
        </a:p>
        <a:p>
          <a:pPr marL="285750" indent="-285750" algn="l" defTabSz="1727699" rtl="0" eaLnBrk="1" latinLnBrk="0" hangingPunct="1">
            <a:spcAft>
              <a:spcPts val="1200"/>
            </a:spcAft>
            <a:buFont typeface="Arial" panose="020B0604020202020204" pitchFamily="34" charset="0"/>
            <a:buChar char="•"/>
          </a:pPr>
          <a:r>
            <a:rPr lang="ru-RU" sz="1400" b="1" kern="1200">
              <a:solidFill>
                <a:schemeClr val="dk1"/>
              </a:solidFill>
              <a:effectLst/>
              <a:latin typeface="+mn-lt"/>
              <a:ea typeface="+mn-ea"/>
              <a:cs typeface="+mn-cs"/>
            </a:rPr>
            <a:t>Поддержка работы с любыми гипервизорами в виртуальной инфраструктуре </a:t>
          </a:r>
        </a:p>
        <a:p>
          <a:pPr>
            <a:spcAft>
              <a:spcPts val="2400"/>
            </a:spcAft>
          </a:pPr>
          <a:endParaRPr lang="ru-RU" sz="4000">
            <a:solidFill>
              <a:srgbClr val="08376D"/>
            </a:solidFill>
            <a:latin typeface="Segoe UI" panose="020B0502040204020203" pitchFamily="34" charset="0"/>
            <a:cs typeface="Segoe UI" panose="020B0502040204020203" pitchFamily="34" charset="0"/>
          </a:endParaRPr>
        </a:p>
      </xdr:txBody>
    </xdr:sp>
    <xdr:clientData/>
  </xdr:twoCellAnchor>
  <xdr:oneCellAnchor>
    <xdr:from>
      <xdr:col>1</xdr:col>
      <xdr:colOff>2008593</xdr:colOff>
      <xdr:row>1</xdr:row>
      <xdr:rowOff>652130</xdr:rowOff>
    </xdr:from>
    <xdr:ext cx="1230435" cy="498737"/>
    <xdr:pic>
      <xdr:nvPicPr>
        <xdr:cNvPr id="100" name="Рисунок 99">
          <a:extLst>
            <a:ext uri="{FF2B5EF4-FFF2-40B4-BE49-F238E27FC236}">
              <a16:creationId xmlns:a16="http://schemas.microsoft.com/office/drawing/2014/main" xmlns="" id="{00000000-0008-0000-0C00-000064000000}"/>
            </a:ext>
          </a:extLst>
        </xdr:cNvPr>
        <xdr:cNvPicPr>
          <a:picLocks noChangeAspect="1"/>
        </xdr:cNvPicPr>
      </xdr:nvPicPr>
      <xdr:blipFill>
        <a:blip xmlns:r="http://schemas.openxmlformats.org/officeDocument/2006/relationships" r:embed="rId54"/>
        <a:stretch>
          <a:fillRect/>
        </a:stretch>
      </xdr:blipFill>
      <xdr:spPr>
        <a:xfrm>
          <a:off x="1218018" y="385430"/>
          <a:ext cx="1230435" cy="4987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11204</xdr:colOff>
      <xdr:row>2</xdr:row>
      <xdr:rowOff>-1</xdr:rowOff>
    </xdr:from>
    <xdr:to>
      <xdr:col>12</xdr:col>
      <xdr:colOff>67234</xdr:colOff>
      <xdr:row>3</xdr:row>
      <xdr:rowOff>11206</xdr:rowOff>
    </xdr:to>
    <xdr:sp macro="" textlink="">
      <xdr:nvSpPr>
        <xdr:cNvPr id="16" name="Прямоугольник 15">
          <a:hlinkClick xmlns:r="http://schemas.openxmlformats.org/officeDocument/2006/relationships" r:id="rId1"/>
          <a:extLst>
            <a:ext uri="{FF2B5EF4-FFF2-40B4-BE49-F238E27FC236}">
              <a16:creationId xmlns:a16="http://schemas.microsoft.com/office/drawing/2014/main" xmlns="" id="{00000000-0008-0000-0100-000010000000}"/>
            </a:ext>
          </a:extLst>
        </xdr:cNvPr>
        <xdr:cNvSpPr/>
      </xdr:nvSpPr>
      <xdr:spPr>
        <a:xfrm>
          <a:off x="11204" y="1277470"/>
          <a:ext cx="12192001" cy="3810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3</xdr:col>
      <xdr:colOff>341781</xdr:colOff>
      <xdr:row>2</xdr:row>
      <xdr:rowOff>139211</xdr:rowOff>
    </xdr:from>
    <xdr:to>
      <xdr:col>3</xdr:col>
      <xdr:colOff>527540</xdr:colOff>
      <xdr:row>2</xdr:row>
      <xdr:rowOff>324970</xdr:rowOff>
    </xdr:to>
    <xdr:pic>
      <xdr:nvPicPr>
        <xdr:cNvPr id="9" name="Рисунок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6115396" y="1414096"/>
          <a:ext cx="185759" cy="185759"/>
        </a:xfrm>
        <a:prstGeom prst="rect">
          <a:avLst/>
        </a:prstGeom>
      </xdr:spPr>
    </xdr:pic>
    <xdr:clientData/>
  </xdr:twoCellAnchor>
  <xdr:twoCellAnchor editAs="oneCell">
    <xdr:from>
      <xdr:col>0</xdr:col>
      <xdr:colOff>13607</xdr:colOff>
      <xdr:row>0</xdr:row>
      <xdr:rowOff>13607</xdr:rowOff>
    </xdr:from>
    <xdr:to>
      <xdr:col>13</xdr:col>
      <xdr:colOff>1360</xdr:colOff>
      <xdr:row>2</xdr:row>
      <xdr:rowOff>6981</xdr:rowOff>
    </xdr:to>
    <xdr:pic>
      <xdr:nvPicPr>
        <xdr:cNvPr id="8" name="Рисунок 7">
          <a:hlinkClick xmlns:r="http://schemas.openxmlformats.org/officeDocument/2006/relationships" r:id="rId3"/>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4"/>
        <a:stretch>
          <a:fillRect/>
        </a:stretch>
      </xdr:blipFill>
      <xdr:spPr>
        <a:xfrm>
          <a:off x="13607" y="13607"/>
          <a:ext cx="12179753" cy="1269724"/>
        </a:xfrm>
        <a:prstGeom prst="rect">
          <a:avLst/>
        </a:prstGeom>
      </xdr:spPr>
    </xdr:pic>
    <xdr:clientData/>
  </xdr:twoCellAnchor>
  <xdr:twoCellAnchor>
    <xdr:from>
      <xdr:col>1</xdr:col>
      <xdr:colOff>35719</xdr:colOff>
      <xdr:row>15</xdr:row>
      <xdr:rowOff>47624</xdr:rowOff>
    </xdr:from>
    <xdr:to>
      <xdr:col>3</xdr:col>
      <xdr:colOff>369093</xdr:colOff>
      <xdr:row>26</xdr:row>
      <xdr:rowOff>370417</xdr:rowOff>
    </xdr:to>
    <xdr:sp macro="" textlink="">
      <xdr:nvSpPr>
        <xdr:cNvPr id="10" name="TextBox 9">
          <a:extLst>
            <a:ext uri="{FF2B5EF4-FFF2-40B4-BE49-F238E27FC236}">
              <a16:creationId xmlns:a16="http://schemas.microsoft.com/office/drawing/2014/main" xmlns="" id="{00000000-0008-0000-0100-00000A000000}"/>
            </a:ext>
          </a:extLst>
        </xdr:cNvPr>
        <xdr:cNvSpPr txBox="1"/>
      </xdr:nvSpPr>
      <xdr:spPr>
        <a:xfrm>
          <a:off x="120386" y="5572124"/>
          <a:ext cx="6016624" cy="6143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1" i="0" baseline="0">
              <a:solidFill>
                <a:schemeClr val="dk1"/>
              </a:solidFill>
              <a:effectLst/>
              <a:latin typeface="+mn-lt"/>
              <a:ea typeface="+mn-ea"/>
              <a:cs typeface="+mn-cs"/>
            </a:rPr>
            <a:t>СЗИ ВИ </a:t>
          </a:r>
          <a:r>
            <a:rPr lang="en-US" sz="1100" b="1" i="0" baseline="0">
              <a:solidFill>
                <a:schemeClr val="dk1"/>
              </a:solidFill>
              <a:effectLst/>
              <a:latin typeface="+mn-lt"/>
              <a:ea typeface="+mn-ea"/>
              <a:cs typeface="+mn-cs"/>
            </a:rPr>
            <a:t>Dallas Lock</a:t>
          </a:r>
          <a:r>
            <a:rPr lang="ru-RU" sz="1100" b="1" i="0" baseline="0">
              <a:solidFill>
                <a:schemeClr val="dk1"/>
              </a:solidFill>
              <a:effectLst/>
              <a:latin typeface="+mn-lt"/>
              <a:ea typeface="+mn-ea"/>
              <a:cs typeface="+mn-cs"/>
            </a:rPr>
            <a:t>. Право на использование</a:t>
          </a:r>
          <a:endParaRPr lang="ru-RU">
            <a:effectLst/>
          </a:endParaRPr>
        </a:p>
        <a:p>
          <a:r>
            <a:rPr lang="ru-RU" sz="1100" b="0" i="0" baseline="0">
              <a:solidFill>
                <a:schemeClr val="dk1"/>
              </a:solidFill>
              <a:effectLst/>
              <a:latin typeface="+mn-lt"/>
              <a:ea typeface="+mn-ea"/>
              <a:cs typeface="+mn-cs"/>
            </a:rPr>
            <a:t>СЗИ ВИ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Универсальная лицензия лицензируется по количеству физических процессоров на хостах (гипервизорах). Имеет поддержку кластеров </a:t>
          </a:r>
          <a:r>
            <a:rPr lang="en-US" sz="1100" b="0" i="0" baseline="0">
              <a:solidFill>
                <a:schemeClr val="dk1"/>
              </a:solidFill>
              <a:effectLst/>
              <a:latin typeface="+mn-lt"/>
              <a:ea typeface="+mn-ea"/>
              <a:cs typeface="+mn-cs"/>
            </a:rPr>
            <a:t>MS Hyper-V</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PSC-</a:t>
          </a:r>
          <a:r>
            <a:rPr lang="ru-RU" sz="1100" b="0" i="0" baseline="0">
              <a:solidFill>
                <a:schemeClr val="dk1"/>
              </a:solidFill>
              <a:effectLst/>
              <a:latin typeface="+mn-lt"/>
              <a:ea typeface="+mn-ea"/>
              <a:cs typeface="+mn-cs"/>
            </a:rPr>
            <a:t>серверов</a:t>
          </a:r>
          <a:r>
            <a:rPr lang="en-US" sz="1100" b="0" i="0" baseline="0">
              <a:solidFill>
                <a:schemeClr val="dk1"/>
              </a:solidFill>
              <a:effectLst/>
              <a:latin typeface="+mn-lt"/>
              <a:ea typeface="+mn-ea"/>
              <a:cs typeface="+mn-cs"/>
            </a:rPr>
            <a:t> VMware</a:t>
          </a:r>
          <a:r>
            <a:rPr lang="ru-RU" sz="1100" b="0" i="0" baseline="0">
              <a:solidFill>
                <a:schemeClr val="dk1"/>
              </a:solidFill>
              <a:effectLst/>
              <a:latin typeface="+mn-lt"/>
              <a:ea typeface="+mn-ea"/>
              <a:cs typeface="+mn-cs"/>
            </a:rPr>
            <a:t>, графическую панель мониторинга. Сертифицированный комплект для установки приобретается отдельно.</a:t>
          </a:r>
          <a:endParaRPr lang="ru-RU">
            <a:effectLst/>
          </a:endParaRPr>
        </a:p>
        <a:p>
          <a:pPr eaLnBrk="1" fontAlgn="auto" latinLnBrk="0" hangingPunct="1"/>
          <a:endParaRPr lang="ru-RU" sz="1100" b="1">
            <a:solidFill>
              <a:schemeClr val="dk1"/>
            </a:solidFill>
            <a:effectLst/>
            <a:latin typeface="+mn-lt"/>
            <a:ea typeface="+mn-ea"/>
            <a:cs typeface="+mn-cs"/>
          </a:endParaRPr>
        </a:p>
        <a:p>
          <a:pPr eaLnBrk="1" fontAlgn="auto" latinLnBrk="0" hangingPunct="1"/>
          <a:r>
            <a:rPr lang="ru-RU" sz="1100" b="1">
              <a:solidFill>
                <a:schemeClr val="dk1"/>
              </a:solidFill>
              <a:effectLst/>
              <a:latin typeface="+mn-lt"/>
              <a:ea typeface="+mn-ea"/>
              <a:cs typeface="+mn-cs"/>
            </a:rPr>
            <a:t>СЗИ ВИ Dallas Lock Универсальная</a:t>
          </a:r>
          <a:r>
            <a:rPr lang="ru-RU" sz="1100" b="1" baseline="0">
              <a:solidFill>
                <a:schemeClr val="dk1"/>
              </a:solidFill>
              <a:effectLst/>
              <a:latin typeface="+mn-lt"/>
              <a:ea typeface="+mn-ea"/>
              <a:cs typeface="+mn-cs"/>
            </a:rPr>
            <a:t> лицензия </a:t>
          </a:r>
          <a:r>
            <a:rPr lang="ru-RU" sz="1100" b="1">
              <a:solidFill>
                <a:schemeClr val="dk1"/>
              </a:solidFill>
              <a:effectLst/>
              <a:latin typeface="+mn-lt"/>
              <a:ea typeface="+mn-ea"/>
              <a:cs typeface="+mn-cs"/>
            </a:rPr>
            <a:t>обязательна</a:t>
          </a:r>
          <a:r>
            <a:rPr lang="ru-RU" sz="1100">
              <a:solidFill>
                <a:schemeClr val="dk1"/>
              </a:solidFill>
              <a:effectLst/>
              <a:latin typeface="+mn-lt"/>
              <a:ea typeface="+mn-ea"/>
              <a:cs typeface="+mn-cs"/>
            </a:rPr>
            <a:t> при использовании следующих технологий и механизмов виртуализации:</a:t>
          </a:r>
          <a:r>
            <a:rPr lang="en-US" sz="1100" baseline="0">
              <a:solidFill>
                <a:schemeClr val="dk1"/>
              </a:solidFill>
              <a:effectLst/>
              <a:latin typeface="+mn-lt"/>
              <a:ea typeface="+mn-ea"/>
              <a:cs typeface="+mn-cs"/>
            </a:rPr>
            <a:t> </a:t>
          </a:r>
          <a:r>
            <a:rPr lang="ru-RU" sz="1100">
              <a:solidFill>
                <a:schemeClr val="dk1"/>
              </a:solidFill>
              <a:effectLst/>
              <a:latin typeface="+mn-lt"/>
              <a:ea typeface="+mn-ea"/>
              <a:cs typeface="+mn-cs"/>
            </a:rPr>
            <a:t>Microsoft Hyper-V High Availability (HA), Failover Cluster Manager, System Center Virtual Machine Manager,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VMware vSphere vCenter High Availability, VMware Fault Tolerance, Enhanced Linked Mode,  Embedded Linked Mode, Hybrid Linked Mode.</a:t>
          </a:r>
          <a:endParaRPr lang="ru-RU">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n-US" sz="1100" b="0"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СЗИ ВИ </a:t>
          </a:r>
          <a:r>
            <a:rPr lang="en-US" sz="1100" b="1" i="0" u="none" strike="noStrike" baseline="0">
              <a:solidFill>
                <a:schemeClr val="dk1"/>
              </a:solidFill>
              <a:latin typeface="+mn-lt"/>
              <a:ea typeface="+mn-ea"/>
              <a:cs typeface="Arial" panose="020B0604020202020204" pitchFamily="34" charset="0"/>
            </a:rPr>
            <a:t>Dallas Lock</a:t>
          </a:r>
          <a:r>
            <a:rPr lang="ru-RU" sz="1100" b="1" i="0" u="none" strike="noStrike" baseline="0">
              <a:solidFill>
                <a:schemeClr val="dk1"/>
              </a:solidFill>
              <a:latin typeface="+mn-lt"/>
              <a:ea typeface="+mn-ea"/>
              <a:cs typeface="Arial" panose="020B0604020202020204" pitchFamily="34" charset="0"/>
            </a:rPr>
            <a:t>. Сертифицированный комплект для установки</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100" b="0" i="0" u="none" strike="noStrike" baseline="0">
              <a:solidFill>
                <a:schemeClr val="dk1"/>
              </a:solidFill>
              <a:latin typeface="+mn-lt"/>
              <a:ea typeface="+mn-ea"/>
              <a:cs typeface="Arial" panose="020B0604020202020204" pitchFamily="34" charset="0"/>
            </a:rPr>
            <a:t>Компакт-диск с ПО СЗИ ВИ </a:t>
          </a:r>
          <a:r>
            <a:rPr lang="en-US" sz="1100" b="0" i="0" u="none" strike="noStrike" baseline="0">
              <a:solidFill>
                <a:schemeClr val="dk1"/>
              </a:solidFill>
              <a:latin typeface="+mn-lt"/>
              <a:ea typeface="+mn-ea"/>
              <a:cs typeface="Arial" panose="020B0604020202020204" pitchFamily="34" charset="0"/>
            </a:rPr>
            <a:t>Dallas Lock</a:t>
          </a:r>
          <a:r>
            <a:rPr lang="ru-RU" sz="1100" b="0" i="0" u="none" strike="noStrike" baseline="0">
              <a:solidFill>
                <a:schemeClr val="dk1"/>
              </a:solidFill>
              <a:latin typeface="+mn-lt"/>
              <a:ea typeface="+mn-ea"/>
              <a:cs typeface="Arial" panose="020B0604020202020204" pitchFamily="34" charset="0"/>
            </a:rPr>
            <a:t> и документацией в электронном виде;</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лицензионный </a:t>
          </a:r>
          <a:r>
            <a:rPr lang="en-US" sz="1100" b="0" i="0" u="none" strike="noStrike" baseline="0">
              <a:solidFill>
                <a:schemeClr val="dk1"/>
              </a:solidFill>
              <a:latin typeface="+mn-lt"/>
              <a:ea typeface="+mn-ea"/>
              <a:cs typeface="Arial" panose="020B0604020202020204" pitchFamily="34" charset="0"/>
            </a:rPr>
            <a:t>USB-</a:t>
          </a:r>
          <a:r>
            <a:rPr lang="ru-RU" sz="1100" b="0" i="0" u="none" strike="noStrike" baseline="0">
              <a:solidFill>
                <a:schemeClr val="dk1"/>
              </a:solidFill>
              <a:latin typeface="+mn-lt"/>
              <a:ea typeface="+mn-ea"/>
              <a:cs typeface="Arial" panose="020B0604020202020204" pitchFamily="34" charset="0"/>
            </a:rPr>
            <a:t>ключ с указанием максимального количества центров</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управления и количества физических проце</a:t>
          </a:r>
          <a:r>
            <a:rPr lang="ru-RU" sz="1100" b="0" i="0" baseline="0">
              <a:solidFill>
                <a:schemeClr val="dk1"/>
              </a:solidFill>
              <a:effectLst/>
              <a:latin typeface="+mn-lt"/>
              <a:ea typeface="+mn-ea"/>
              <a:cs typeface="+mn-cs"/>
            </a:rPr>
            <a:t>ссоров; формуляр; копия сертификата ФСТЭК России; краткое руководство.</a:t>
          </a:r>
          <a:endParaRPr lang="ru-RU">
            <a:effectLst/>
          </a:endParaRPr>
        </a:p>
        <a:p>
          <a:pPr algn="just"/>
          <a:endParaRPr lang="en-US" sz="1100" b="0" i="0" u="none" strike="noStrike" baseline="0">
            <a:solidFill>
              <a:schemeClr val="dk1"/>
            </a:solidFill>
            <a:latin typeface="+mn-lt"/>
            <a:ea typeface="+mn-ea"/>
            <a:cs typeface="Arial" panose="020B0604020202020204" pitchFamily="34" charset="0"/>
          </a:endParaRPr>
        </a:p>
        <a:p>
          <a:r>
            <a:rPr lang="ru-RU" sz="1100" b="1">
              <a:solidFill>
                <a:schemeClr val="dk1"/>
              </a:solidFill>
              <a:effectLst/>
              <a:latin typeface="+mn-lt"/>
              <a:ea typeface="+mn-ea"/>
              <a:cs typeface="+mn-cs"/>
            </a:rPr>
            <a:t>Техническая поддержка</a:t>
          </a:r>
          <a:endParaRPr lang="ru-RU">
            <a:effectLst/>
          </a:endParaRPr>
        </a:p>
        <a:p>
          <a:pPr algn="just" eaLnBrk="1" fontAlgn="auto" latinLnBrk="0" hangingPunct="1"/>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eaLnBrk="1" fontAlgn="auto" latinLnBrk="0" hangingPunct="1"/>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a:t>
          </a:r>
          <a:endParaRPr lang="ru-RU">
            <a:effectLst/>
          </a:endParaRPr>
        </a:p>
      </xdr:txBody>
    </xdr:sp>
    <xdr:clientData/>
  </xdr:twoCellAnchor>
  <xdr:twoCellAnchor>
    <xdr:from>
      <xdr:col>3</xdr:col>
      <xdr:colOff>423866</xdr:colOff>
      <xdr:row>15</xdr:row>
      <xdr:rowOff>47625</xdr:rowOff>
    </xdr:from>
    <xdr:to>
      <xdr:col>13</xdr:col>
      <xdr:colOff>42864</xdr:colOff>
      <xdr:row>25</xdr:row>
      <xdr:rowOff>369794</xdr:rowOff>
    </xdr:to>
    <xdr:sp macro="" textlink="">
      <xdr:nvSpPr>
        <xdr:cNvPr id="11" name="TextBox 10">
          <a:extLst>
            <a:ext uri="{FF2B5EF4-FFF2-40B4-BE49-F238E27FC236}">
              <a16:creationId xmlns:a16="http://schemas.microsoft.com/office/drawing/2014/main" xmlns="" id="{00000000-0008-0000-0100-00000B000000}"/>
            </a:ext>
          </a:extLst>
        </xdr:cNvPr>
        <xdr:cNvSpPr txBox="1"/>
      </xdr:nvSpPr>
      <xdr:spPr>
        <a:xfrm>
          <a:off x="6206101" y="5560919"/>
          <a:ext cx="6062381" cy="558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0" i="0" baseline="0">
              <a:solidFill>
                <a:schemeClr val="dk1"/>
              </a:solidFill>
              <a:effectLst/>
              <a:latin typeface="+mn-lt"/>
              <a:ea typeface="+mn-ea"/>
              <a:cs typeface="+mn-cs"/>
            </a:rPr>
            <a:t>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 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p>
        <a:p>
          <a:pPr algn="just"/>
          <a:r>
            <a:rPr lang="ru-RU" sz="1100" b="0" i="0" baseline="0">
              <a:solidFill>
                <a:schemeClr val="dk1"/>
              </a:solidFill>
              <a:effectLst/>
              <a:latin typeface="+mn-lt"/>
              <a:ea typeface="+mn-ea"/>
              <a:cs typeface="+mn-cs"/>
            </a:rPr>
            <a:t>Продление технической поддержки на ранее приобретённые лицензии с артикулами </a:t>
          </a:r>
          <a:r>
            <a:rPr lang="en-US" sz="1100" b="0" i="0" baseline="0">
              <a:solidFill>
                <a:schemeClr val="dk1"/>
              </a:solidFill>
              <a:effectLst/>
              <a:latin typeface="+mn-lt"/>
              <a:ea typeface="+mn-ea"/>
              <a:cs typeface="+mn-cs"/>
            </a:rPr>
            <a:t>DLVI.S.HOST</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DLVI.S.HOSTHV.*, DLVI.C.HCPU-STD.*, DLVI.C.HCPU-ENT.*, DLVI.S.HOSTUNI. </a:t>
          </a:r>
          <a:r>
            <a:rPr lang="ru-RU" sz="1100" b="0" i="0" baseline="0">
              <a:solidFill>
                <a:schemeClr val="dk1"/>
              </a:solidFill>
              <a:effectLst/>
              <a:latin typeface="+mn-lt"/>
              <a:ea typeface="+mn-ea"/>
              <a:cs typeface="+mn-cs"/>
            </a:rPr>
            <a:t>осуществляется путём обновления этих лицензий до </a:t>
          </a:r>
          <a:r>
            <a:rPr lang="en-US" sz="1100" b="0" i="0" baseline="0">
              <a:solidFill>
                <a:schemeClr val="dk1"/>
              </a:solidFill>
              <a:effectLst/>
              <a:latin typeface="+mn-lt"/>
              <a:ea typeface="+mn-ea"/>
              <a:cs typeface="+mn-cs"/>
            </a:rPr>
            <a:t>DLVI.S.ESXI-KVM-ENT. </a:t>
          </a:r>
          <a:r>
            <a:rPr lang="ru-RU" sz="1100" b="0" i="0" baseline="0">
              <a:solidFill>
                <a:schemeClr val="dk1"/>
              </a:solidFill>
              <a:effectLst/>
              <a:latin typeface="+mn-lt"/>
              <a:ea typeface="+mn-ea"/>
              <a:cs typeface="+mn-cs"/>
            </a:rPr>
            <a:t>или</a:t>
          </a:r>
          <a:r>
            <a:rPr lang="en-US" sz="1100" b="0" i="0" baseline="0">
              <a:solidFill>
                <a:schemeClr val="dk1"/>
              </a:solidFill>
              <a:effectLst/>
              <a:latin typeface="+mn-lt"/>
              <a:ea typeface="+mn-ea"/>
              <a:cs typeface="+mn-cs"/>
            </a:rPr>
            <a:t> DLVI.S.ESXI-KVM-HV-ENT. </a:t>
          </a:r>
          <a:endParaRPr lang="ru-RU">
            <a:effectLst/>
          </a:endParaRPr>
        </a:p>
        <a:p>
          <a:pPr eaLnBrk="1" fontAlgn="auto" latinLnBrk="0" hangingPunct="1"/>
          <a:endParaRPr lang="ru-RU">
            <a:effectLst/>
          </a:endParaRPr>
        </a:p>
        <a:p>
          <a:pPr algn="just"/>
          <a:r>
            <a:rPr lang="ru-RU" sz="1100" b="1" i="0" u="none" strike="noStrike" baseline="0">
              <a:solidFill>
                <a:schemeClr val="dk1"/>
              </a:solidFill>
              <a:latin typeface="+mn-lt"/>
              <a:ea typeface="+mn-ea"/>
              <a:cs typeface="Arial" panose="020B0604020202020204" pitchFamily="34" charset="0"/>
            </a:rPr>
            <a:t>Комментарии</a:t>
          </a:r>
        </a:p>
        <a:p>
          <a:pPr algn="just"/>
          <a:r>
            <a:rPr lang="ru-RU" sz="1100" b="0" i="0" u="none" strike="noStrike" baseline="0">
              <a:solidFill>
                <a:schemeClr val="dk1"/>
              </a:solidFill>
              <a:latin typeface="+mn-lt"/>
              <a:ea typeface="+mn-ea"/>
              <a:cs typeface="Arial" panose="020B0604020202020204" pitchFamily="34" charset="0"/>
            </a:rPr>
            <a:t>• Для защиты серверных платформ, на которых функционирует виртуальная</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инфраструктура, рекомендуется использование СДЗ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приобретается отдельно), а также </a:t>
          </a:r>
          <a:r>
            <a:rPr lang="en-US" sz="1100" b="0" i="0" u="none" strike="noStrike" baseline="0">
              <a:solidFill>
                <a:schemeClr val="dk1"/>
              </a:solidFill>
              <a:latin typeface="+mn-lt"/>
              <a:ea typeface="+mn-ea"/>
              <a:cs typeface="Arial" panose="020B0604020202020204" pitchFamily="34" charset="0"/>
            </a:rPr>
            <a:t>Dallas Lock 8.0 (</a:t>
          </a:r>
          <a:r>
            <a:rPr lang="ru-RU" sz="1100" b="0" i="0" u="none" strike="noStrike" baseline="0">
              <a:solidFill>
                <a:schemeClr val="dk1"/>
              </a:solidFill>
              <a:latin typeface="+mn-lt"/>
              <a:ea typeface="+mn-ea"/>
              <a:cs typeface="Arial" panose="020B0604020202020204" pitchFamily="34" charset="0"/>
            </a:rPr>
            <a:t>СЗИ НСД, СКН, МЭ, СОВ) или </a:t>
          </a:r>
          <a:r>
            <a:rPr lang="en-US" sz="1100" b="0" i="0" u="none" strike="noStrike" baseline="0">
              <a:solidFill>
                <a:schemeClr val="dk1"/>
              </a:solidFill>
              <a:latin typeface="+mn-lt"/>
              <a:ea typeface="+mn-ea"/>
              <a:cs typeface="Arial" panose="020B0604020202020204" pitchFamily="34" charset="0"/>
            </a:rPr>
            <a:t>Dallas Lock Linux (</a:t>
          </a:r>
          <a:r>
            <a:rPr lang="ru-RU" sz="1100" b="0" i="0" u="none" strike="noStrike" baseline="0">
              <a:solidFill>
                <a:schemeClr val="dk1"/>
              </a:solidFill>
              <a:latin typeface="+mn-lt"/>
              <a:ea typeface="+mn-ea"/>
              <a:cs typeface="Arial" panose="020B0604020202020204" pitchFamily="34" charset="0"/>
            </a:rPr>
            <a:t>СЗИ НСД) (приобретаются отдельно).</a:t>
          </a:r>
        </a:p>
        <a:p>
          <a:pPr algn="just"/>
          <a:r>
            <a:rPr lang="ru-RU" sz="1100" b="0" i="0" u="none" strike="noStrike" baseline="0">
              <a:solidFill>
                <a:schemeClr val="dk1"/>
              </a:solidFill>
              <a:latin typeface="+mn-lt"/>
              <a:ea typeface="+mn-ea"/>
              <a:cs typeface="Arial" panose="020B0604020202020204" pitchFamily="34" charset="0"/>
            </a:rPr>
            <a:t>• Для защиты виртуальных машин также рекомендуется использовать </a:t>
          </a:r>
          <a:r>
            <a:rPr lang="en-US" sz="1100" b="0" i="0" u="none" strike="noStrike" baseline="0">
              <a:solidFill>
                <a:schemeClr val="dk1"/>
              </a:solidFill>
              <a:latin typeface="+mn-lt"/>
              <a:ea typeface="+mn-ea"/>
              <a:cs typeface="Arial" panose="020B0604020202020204" pitchFamily="34" charset="0"/>
            </a:rPr>
            <a:t>Dallas Lock 8.0 (</a:t>
          </a:r>
          <a:r>
            <a:rPr lang="ru-RU" sz="1100" b="0" i="0" u="none" strike="noStrike" baseline="0">
              <a:solidFill>
                <a:schemeClr val="dk1"/>
              </a:solidFill>
              <a:latin typeface="+mn-lt"/>
              <a:ea typeface="+mn-ea"/>
              <a:cs typeface="Arial" panose="020B0604020202020204" pitchFamily="34" charset="0"/>
            </a:rPr>
            <a:t>СЗИ НСД, СКН, МЭ, СОВ) или </a:t>
          </a:r>
          <a:r>
            <a:rPr lang="en-US" sz="1100" b="0" i="0" u="none" strike="noStrike" baseline="0">
              <a:solidFill>
                <a:schemeClr val="dk1"/>
              </a:solidFill>
              <a:latin typeface="+mn-lt"/>
              <a:ea typeface="+mn-ea"/>
              <a:cs typeface="Arial" panose="020B0604020202020204" pitchFamily="34" charset="0"/>
            </a:rPr>
            <a:t>Dallas Lock Linux (</a:t>
          </a:r>
          <a:r>
            <a:rPr lang="ru-RU" sz="1100" b="0" i="0" u="none" strike="noStrike" baseline="0">
              <a:solidFill>
                <a:schemeClr val="dk1"/>
              </a:solidFill>
              <a:latin typeface="+mn-lt"/>
              <a:ea typeface="+mn-ea"/>
              <a:cs typeface="Arial" panose="020B0604020202020204" pitchFamily="34" charset="0"/>
            </a:rPr>
            <a:t>СЗИ НСД) (приобретаются отдельно).</a:t>
          </a:r>
        </a:p>
      </xdr:txBody>
    </xdr:sp>
    <xdr:clientData/>
  </xdr:twoCellAnchor>
  <xdr:twoCellAnchor>
    <xdr:from>
      <xdr:col>1</xdr:col>
      <xdr:colOff>0</xdr:colOff>
      <xdr:row>28</xdr:row>
      <xdr:rowOff>4211</xdr:rowOff>
    </xdr:from>
    <xdr:to>
      <xdr:col>11</xdr:col>
      <xdr:colOff>666750</xdr:colOff>
      <xdr:row>33</xdr:row>
      <xdr:rowOff>87231</xdr:rowOff>
    </xdr:to>
    <xdr:grpSp>
      <xdr:nvGrpSpPr>
        <xdr:cNvPr id="12" name="Группа 11">
          <a:extLst>
            <a:ext uri="{FF2B5EF4-FFF2-40B4-BE49-F238E27FC236}">
              <a16:creationId xmlns:a16="http://schemas.microsoft.com/office/drawing/2014/main" xmlns="" id="{00000000-0008-0000-0100-00000C000000}"/>
            </a:ext>
          </a:extLst>
        </xdr:cNvPr>
        <xdr:cNvGrpSpPr/>
      </xdr:nvGrpSpPr>
      <xdr:grpSpPr>
        <a:xfrm>
          <a:off x="85725" y="11929511"/>
          <a:ext cx="11991975" cy="1035520"/>
          <a:chOff x="9525" y="13325475"/>
          <a:chExt cx="12372975" cy="1066800"/>
        </a:xfrm>
      </xdr:grpSpPr>
      <xdr:sp macro="" textlink="">
        <xdr:nvSpPr>
          <xdr:cNvPr id="13" name="TextBox 12">
            <a:extLst>
              <a:ext uri="{FF2B5EF4-FFF2-40B4-BE49-F238E27FC236}">
                <a16:creationId xmlns:a16="http://schemas.microsoft.com/office/drawing/2014/main" xmlns="" id="{00000000-0008-0000-0100-00000D000000}"/>
              </a:ext>
            </a:extLst>
          </xdr:cNvPr>
          <xdr:cNvSpPr txBox="1"/>
        </xdr:nvSpPr>
        <xdr:spPr>
          <a:xfrm>
            <a:off x="9525" y="13363575"/>
            <a:ext cx="1237297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Arial" panose="020B0604020202020204" pitchFamily="34" charset="0"/>
              </a:rPr>
              <a:t>* «x» – </a:t>
            </a:r>
            <a:r>
              <a:rPr lang="ru-RU" sz="1100" b="0" i="0" u="none" strike="noStrike" baseline="0">
                <a:solidFill>
                  <a:schemeClr val="dk1"/>
                </a:solidFill>
                <a:latin typeface="+mn-lt"/>
                <a:ea typeface="+mn-ea"/>
                <a:cs typeface="Arial" panose="020B0604020202020204" pitchFamily="34" charset="0"/>
              </a:rPr>
              <a:t>диапазон количества процессоров; «</a:t>
            </a:r>
            <a:r>
              <a:rPr lang="en-US" sz="1100" b="0" i="0" u="none" strike="noStrike" baseline="0">
                <a:solidFill>
                  <a:schemeClr val="dk1"/>
                </a:solidFill>
                <a:latin typeface="+mn-lt"/>
                <a:ea typeface="+mn-ea"/>
                <a:cs typeface="Arial" panose="020B0604020202020204" pitchFamily="34" charset="0"/>
              </a:rPr>
              <a:t>y» – </a:t>
            </a:r>
            <a:r>
              <a:rPr lang="ru-RU" sz="1100" b="0" i="0" u="none" strike="noStrike" baseline="0">
                <a:solidFill>
                  <a:schemeClr val="dk1"/>
                </a:solidFill>
                <a:latin typeface="+mn-lt"/>
                <a:ea typeface="+mn-ea"/>
                <a:cs typeface="Arial" panose="020B0604020202020204" pitchFamily="34" charset="0"/>
              </a:rPr>
              <a:t>тип системы сертификации: </a:t>
            </a:r>
            <a:r>
              <a:rPr lang="en-US" sz="1100" b="0" i="0" u="none" strike="noStrike" baseline="0">
                <a:solidFill>
                  <a:schemeClr val="dk1"/>
                </a:solidFill>
                <a:latin typeface="+mn-lt"/>
                <a:ea typeface="+mn-ea"/>
                <a:cs typeface="Arial" panose="020B0604020202020204" pitchFamily="34" charset="0"/>
              </a:rPr>
              <a:t>FSTEC (</a:t>
            </a:r>
            <a:r>
              <a:rPr lang="ru-RU" sz="1100" b="0" i="0" u="none" strike="noStrike" baseline="0">
                <a:solidFill>
                  <a:schemeClr val="dk1"/>
                </a:solidFill>
                <a:latin typeface="+mn-lt"/>
                <a:ea typeface="+mn-ea"/>
                <a:cs typeface="Arial" panose="020B0604020202020204" pitchFamily="34" charset="0"/>
              </a:rPr>
              <a:t>ФСТЭК России), </a:t>
            </a:r>
            <a:r>
              <a:rPr lang="en-US" sz="1100" b="0" i="0" u="none" strike="noStrike" baseline="0">
                <a:solidFill>
                  <a:schemeClr val="dk1"/>
                </a:solidFill>
                <a:latin typeface="+mn-lt"/>
                <a:ea typeface="+mn-ea"/>
                <a:cs typeface="Arial" panose="020B0604020202020204" pitchFamily="34" charset="0"/>
              </a:rPr>
              <a:t>MO (</a:t>
            </a:r>
            <a:r>
              <a:rPr lang="ru-RU" sz="1100" b="0" i="0" u="none" strike="noStrike" baseline="0">
                <a:solidFill>
                  <a:schemeClr val="dk1"/>
                </a:solidFill>
                <a:latin typeface="+mn-lt"/>
                <a:ea typeface="+mn-ea"/>
                <a:cs typeface="Arial" panose="020B0604020202020204" pitchFamily="34" charset="0"/>
              </a:rPr>
              <a:t>Минобороны России)</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используемое программное обеспечение не облагается НДС.</a:t>
            </a:r>
          </a:p>
          <a:p>
            <a:r>
              <a:rPr lang="ru-RU" sz="1100" b="0" i="0" u="none" strike="noStrike" baseline="0">
                <a:solidFill>
                  <a:schemeClr val="dk1"/>
                </a:solidFill>
                <a:latin typeface="+mn-lt"/>
                <a:ea typeface="+mn-ea"/>
                <a:cs typeface="Arial" panose="020B0604020202020204" pitchFamily="34" charset="0"/>
              </a:rPr>
              <a:t>*** В стоимость входит НДС 20%. </a:t>
            </a:r>
            <a:endParaRPr lang="ru-RU" sz="1100">
              <a:latin typeface="+mn-lt"/>
              <a:cs typeface="Arial" panose="020B0604020202020204" pitchFamily="34" charset="0"/>
            </a:endParaRPr>
          </a:p>
        </xdr:txBody>
      </xdr:sp>
      <xdr:cxnSp macro="">
        <xdr:nvCxnSpPr>
          <xdr:cNvPr id="14" name="Прямая соединительная линия 13">
            <a:extLst>
              <a:ext uri="{FF2B5EF4-FFF2-40B4-BE49-F238E27FC236}">
                <a16:creationId xmlns:a16="http://schemas.microsoft.com/office/drawing/2014/main" xmlns="" id="{00000000-0008-0000-0100-00000E000000}"/>
              </a:ext>
            </a:extLst>
          </xdr:cNvPr>
          <xdr:cNvCxnSpPr/>
        </xdr:nvCxnSpPr>
        <xdr:spPr>
          <a:xfrm>
            <a:off x="76200" y="13325475"/>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1</xdr:col>
      <xdr:colOff>28576</xdr:colOff>
      <xdr:row>25</xdr:row>
      <xdr:rowOff>507135</xdr:rowOff>
    </xdr:from>
    <xdr:to>
      <xdr:col>13</xdr:col>
      <xdr:colOff>14288</xdr:colOff>
      <xdr:row>27</xdr:row>
      <xdr:rowOff>177388</xdr:rowOff>
    </xdr:to>
    <xdr:pic>
      <xdr:nvPicPr>
        <xdr:cNvPr id="15" name="Рисунок 14">
          <a:extLst>
            <a:ext uri="{FF2B5EF4-FFF2-40B4-BE49-F238E27FC236}">
              <a16:creationId xmlns:a16="http://schemas.microsoft.com/office/drawing/2014/main" xmlns="" id="{00000000-0008-0000-0100-00000F000000}"/>
            </a:ext>
          </a:extLst>
        </xdr:cNvPr>
        <xdr:cNvPicPr>
          <a:picLocks noChangeAspect="1"/>
        </xdr:cNvPicPr>
      </xdr:nvPicPr>
      <xdr:blipFill>
        <a:blip xmlns:r="http://schemas.openxmlformats.org/officeDocument/2006/relationships" r:embed="rId5"/>
        <a:stretch>
          <a:fillRect/>
        </a:stretch>
      </xdr:blipFill>
      <xdr:spPr>
        <a:xfrm>
          <a:off x="114301" y="12527685"/>
          <a:ext cx="12091987" cy="71800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533400</xdr:colOff>
          <xdr:row>5</xdr:row>
          <xdr:rowOff>0</xdr:rowOff>
        </xdr:from>
        <xdr:to>
          <xdr:col>11</xdr:col>
          <xdr:colOff>76200</xdr:colOff>
          <xdr:row>6</xdr:row>
          <xdr:rowOff>28575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xmlns=""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10583</xdr:colOff>
      <xdr:row>13</xdr:row>
      <xdr:rowOff>31750</xdr:rowOff>
    </xdr:from>
    <xdr:to>
      <xdr:col>13</xdr:col>
      <xdr:colOff>9525</xdr:colOff>
      <xdr:row>13</xdr:row>
      <xdr:rowOff>560172</xdr:rowOff>
    </xdr:to>
    <xdr:pic>
      <xdr:nvPicPr>
        <xdr:cNvPr id="4" name="Рисунок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583" y="6032500"/>
          <a:ext cx="12190942" cy="52842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3762375</xdr:colOff>
          <xdr:row>5</xdr:row>
          <xdr:rowOff>0</xdr:rowOff>
        </xdr:from>
        <xdr:to>
          <xdr:col>3</xdr:col>
          <xdr:colOff>57150</xdr:colOff>
          <xdr:row>6</xdr:row>
          <xdr:rowOff>28575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xmlns=""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5</xdr:row>
          <xdr:rowOff>0</xdr:rowOff>
        </xdr:from>
        <xdr:to>
          <xdr:col>11</xdr:col>
          <xdr:colOff>76200</xdr:colOff>
          <xdr:row>6</xdr:row>
          <xdr:rowOff>28575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xmlns=""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31</xdr:row>
      <xdr:rowOff>8722</xdr:rowOff>
    </xdr:from>
    <xdr:to>
      <xdr:col>3</xdr:col>
      <xdr:colOff>105833</xdr:colOff>
      <xdr:row>55</xdr:row>
      <xdr:rowOff>158750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0" y="11924497"/>
          <a:ext cx="5944658" cy="87225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1">
              <a:solidFill>
                <a:schemeClr val="dk1"/>
              </a:solidFill>
              <a:effectLst/>
              <a:latin typeface="+mn-lt"/>
              <a:ea typeface="+mn-ea"/>
              <a:cs typeface="+mn-cs"/>
            </a:rPr>
            <a:t>Сертифицированный комплект поставки СДЗ ПР </a:t>
          </a:r>
          <a:r>
            <a:rPr lang="ru-RU" sz="1100">
              <a:solidFill>
                <a:schemeClr val="dk1"/>
              </a:solidFill>
              <a:effectLst/>
              <a:latin typeface="+mn-lt"/>
              <a:ea typeface="+mn-ea"/>
              <a:cs typeface="+mn-cs"/>
            </a:rPr>
            <a:t>(программно-аппаратный — уровня платы расширения)</a:t>
          </a:r>
        </a:p>
        <a:p>
          <a:r>
            <a:rPr lang="ru-RU" sz="1100">
              <a:solidFill>
                <a:schemeClr val="dk1"/>
              </a:solidFill>
              <a:effectLst/>
              <a:latin typeface="+mn-lt"/>
              <a:ea typeface="+mn-ea"/>
              <a:cs typeface="+mn-cs"/>
            </a:rPr>
            <a:t>Плата СДЗ </a:t>
          </a:r>
          <a:r>
            <a:rPr lang="en-US" sz="1100">
              <a:solidFill>
                <a:schemeClr val="dk1"/>
              </a:solidFill>
              <a:effectLst/>
              <a:latin typeface="+mn-lt"/>
              <a:ea typeface="+mn-ea"/>
              <a:cs typeface="+mn-cs"/>
            </a:rPr>
            <a:t>Dallas Lock PCI</a:t>
          </a:r>
          <a:r>
            <a:rPr lang="ru-RU" sz="1100">
              <a:solidFill>
                <a:schemeClr val="dk1"/>
              </a:solidFill>
              <a:effectLst/>
              <a:latin typeface="+mn-lt"/>
              <a:ea typeface="+mn-ea"/>
              <a:cs typeface="+mn-cs"/>
            </a:rPr>
            <a:t>-</a:t>
          </a:r>
          <a:r>
            <a:rPr lang="en-US" sz="1100">
              <a:solidFill>
                <a:schemeClr val="dk1"/>
              </a:solidFill>
              <a:effectLst/>
              <a:latin typeface="+mn-lt"/>
              <a:ea typeface="+mn-ea"/>
              <a:cs typeface="+mn-cs"/>
            </a:rPr>
            <a:t>E Full Size</a:t>
          </a:r>
          <a:r>
            <a:rPr lang="ru-RU" sz="1100">
              <a:solidFill>
                <a:schemeClr val="dk1"/>
              </a:solidFill>
              <a:effectLst/>
              <a:latin typeface="+mn-lt"/>
              <a:ea typeface="+mn-ea"/>
              <a:cs typeface="+mn-cs"/>
            </a:rPr>
            <a:t> с полноразмерной крепежной планкой или плата СДЗ </a:t>
          </a:r>
          <a:r>
            <a:rPr lang="en-US" sz="1100">
              <a:solidFill>
                <a:schemeClr val="dk1"/>
              </a:solidFill>
              <a:effectLst/>
              <a:latin typeface="+mn-lt"/>
              <a:ea typeface="+mn-ea"/>
              <a:cs typeface="+mn-cs"/>
            </a:rPr>
            <a:t>Dallas Lock Mini PCI</a:t>
          </a:r>
          <a:r>
            <a:rPr lang="ru-RU" sz="1100">
              <a:solidFill>
                <a:schemeClr val="dk1"/>
              </a:solidFill>
              <a:effectLst/>
              <a:latin typeface="+mn-lt"/>
              <a:ea typeface="+mn-ea"/>
              <a:cs typeface="+mn-cs"/>
            </a:rPr>
            <a:t>-</a:t>
          </a:r>
          <a:r>
            <a:rPr lang="en-US" sz="1100">
              <a:solidFill>
                <a:schemeClr val="dk1"/>
              </a:solidFill>
              <a:effectLst/>
              <a:latin typeface="+mn-lt"/>
              <a:ea typeface="+mn-ea"/>
              <a:cs typeface="+mn-cs"/>
            </a:rPr>
            <a:t>E Half Size</a:t>
          </a:r>
          <a:r>
            <a:rPr lang="ru-RU" sz="1100">
              <a:solidFill>
                <a:schemeClr val="dk1"/>
              </a:solidFill>
              <a:effectLst/>
              <a:latin typeface="+mn-lt"/>
              <a:ea typeface="+mn-ea"/>
              <a:cs typeface="+mn-cs"/>
            </a:rPr>
            <a:t> без планки или плата СДЗ </a:t>
          </a:r>
          <a:r>
            <a:rPr lang="en-US" sz="1100">
              <a:solidFill>
                <a:schemeClr val="dk1"/>
              </a:solidFill>
              <a:effectLst/>
              <a:latin typeface="+mn-lt"/>
              <a:ea typeface="+mn-ea"/>
              <a:cs typeface="+mn-cs"/>
            </a:rPr>
            <a:t>Dallas Lock M</a:t>
          </a:r>
          <a:r>
            <a:rPr lang="ru-RU" sz="1100">
              <a:solidFill>
                <a:schemeClr val="dk1"/>
              </a:solidFill>
              <a:effectLst/>
              <a:latin typeface="+mn-lt"/>
              <a:ea typeface="+mn-ea"/>
              <a:cs typeface="+mn-cs"/>
            </a:rPr>
            <a:t>.2 без планки; провод сторожевого таймера; компакт-диск с ПО и документацией в электронном виде; формуляр; копия сертификата ФСТЭК России; краткое руководство.</a:t>
          </a:r>
        </a:p>
        <a:p>
          <a:r>
            <a:rPr lang="ru-RU" sz="1100" b="1">
              <a:solidFill>
                <a:schemeClr val="dk1"/>
              </a:solidFill>
              <a:effectLst/>
              <a:latin typeface="+mn-lt"/>
              <a:ea typeface="+mn-ea"/>
              <a:cs typeface="+mn-cs"/>
            </a:rPr>
            <a:t>Гарантийное сопровождение</a:t>
          </a:r>
          <a:r>
            <a:rPr lang="ru-RU" sz="1100" b="1" baseline="0">
              <a:solidFill>
                <a:schemeClr val="dk1"/>
              </a:solidFill>
              <a:effectLst/>
              <a:latin typeface="+mn-lt"/>
              <a:ea typeface="+mn-ea"/>
              <a:cs typeface="+mn-cs"/>
            </a:rPr>
            <a:t> и т</a:t>
          </a:r>
          <a:r>
            <a:rPr lang="ru-RU" sz="1100" b="1">
              <a:solidFill>
                <a:schemeClr val="dk1"/>
              </a:solidFill>
              <a:effectLst/>
              <a:latin typeface="+mn-lt"/>
              <a:ea typeface="+mn-ea"/>
              <a:cs typeface="+mn-cs"/>
            </a:rPr>
            <a:t>ехническая поддержка</a:t>
          </a:r>
          <a:endParaRPr lang="ru-RU" sz="1100">
            <a:solidFill>
              <a:schemeClr val="dk1"/>
            </a:solidFill>
            <a:effectLst/>
            <a:latin typeface="+mn-lt"/>
            <a:ea typeface="+mn-ea"/>
            <a:cs typeface="+mn-cs"/>
          </a:endParaRPr>
        </a:p>
        <a:p>
          <a:r>
            <a:rPr lang="ru-RU" sz="110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a:solidFill>
                <a:schemeClr val="dk1"/>
              </a:solidFill>
              <a:effectLst/>
              <a:latin typeface="+mn-lt"/>
              <a:ea typeface="+mn-ea"/>
              <a:cs typeface="+mn-cs"/>
            </a:rPr>
            <a:t>z</a:t>
          </a:r>
          <a:r>
            <a:rPr lang="ru-RU" sz="1100" b="1">
              <a:solidFill>
                <a:schemeClr val="dk1"/>
              </a:solidFill>
              <a:effectLst/>
              <a:latin typeface="+mn-lt"/>
              <a:ea typeface="+mn-ea"/>
              <a:cs typeface="+mn-cs"/>
            </a:rPr>
            <a:t> = 12</a:t>
          </a:r>
          <a:r>
            <a:rPr lang="en-US" sz="1100" b="1">
              <a:solidFill>
                <a:schemeClr val="dk1"/>
              </a:solidFill>
              <a:effectLst/>
              <a:latin typeface="+mn-lt"/>
              <a:ea typeface="+mn-ea"/>
              <a:cs typeface="+mn-cs"/>
            </a:rPr>
            <a:t>M</a:t>
          </a:r>
          <a:r>
            <a:rPr lang="ru-RU" sz="1100">
              <a:solidFill>
                <a:schemeClr val="dk1"/>
              </a:solidFill>
              <a:effectLst/>
              <a:latin typeface="+mn-lt"/>
              <a:ea typeface="+mn-ea"/>
              <a:cs typeface="+mn-cs"/>
            </a:rPr>
            <a:t>). В случае приобретения изделий с гарантийным сопровождением (основной пакет) на 3 года, стоимость изделия умножается на коэффициент </a:t>
          </a:r>
          <a:r>
            <a:rPr lang="ru-RU" sz="1100" b="1">
              <a:solidFill>
                <a:schemeClr val="dk1"/>
              </a:solidFill>
              <a:effectLst/>
              <a:latin typeface="+mn-lt"/>
              <a:ea typeface="+mn-ea"/>
              <a:cs typeface="+mn-cs"/>
            </a:rPr>
            <a:t>1,35</a:t>
          </a:r>
          <a:r>
            <a:rPr lang="ru-RU" sz="1100">
              <a:solidFill>
                <a:schemeClr val="dk1"/>
              </a:solidFill>
              <a:effectLst/>
              <a:latin typeface="+mn-lt"/>
              <a:ea typeface="+mn-ea"/>
              <a:cs typeface="+mn-cs"/>
            </a:rPr>
            <a:t> (</a:t>
          </a:r>
          <a:r>
            <a:rPr lang="en-US" sz="1100" b="1">
              <a:solidFill>
                <a:schemeClr val="dk1"/>
              </a:solidFill>
              <a:effectLst/>
              <a:latin typeface="+mn-lt"/>
              <a:ea typeface="+mn-ea"/>
              <a:cs typeface="+mn-cs"/>
            </a:rPr>
            <a:t>z</a:t>
          </a:r>
          <a:r>
            <a:rPr lang="ru-RU" sz="1100" b="1">
              <a:solidFill>
                <a:schemeClr val="dk1"/>
              </a:solidFill>
              <a:effectLst/>
              <a:latin typeface="+mn-lt"/>
              <a:ea typeface="+mn-ea"/>
              <a:cs typeface="+mn-cs"/>
            </a:rPr>
            <a:t> = 36</a:t>
          </a:r>
          <a:r>
            <a:rPr lang="en-US" sz="1100" b="1">
              <a:solidFill>
                <a:schemeClr val="dk1"/>
              </a:solidFill>
              <a:effectLst/>
              <a:latin typeface="+mn-lt"/>
              <a:ea typeface="+mn-ea"/>
              <a:cs typeface="+mn-cs"/>
            </a:rPr>
            <a:t>M</a:t>
          </a:r>
          <a:r>
            <a:rPr lang="ru-RU" sz="110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ru-RU" sz="1100" b="1">
              <a:solidFill>
                <a:schemeClr val="dk1"/>
              </a:solidFill>
              <a:effectLst/>
              <a:latin typeface="+mn-lt"/>
              <a:ea typeface="+mn-ea"/>
              <a:cs typeface="+mn-cs"/>
            </a:rPr>
            <a:t>12</a:t>
          </a:r>
          <a:r>
            <a:rPr lang="en-US" sz="1100" b="1">
              <a:solidFill>
                <a:schemeClr val="dk1"/>
              </a:solidFill>
              <a:effectLst/>
              <a:latin typeface="+mn-lt"/>
              <a:ea typeface="+mn-ea"/>
              <a:cs typeface="+mn-cs"/>
            </a:rPr>
            <a:t>M</a:t>
          </a:r>
          <a:r>
            <a:rPr lang="ru-RU" sz="1100">
              <a:solidFill>
                <a:schemeClr val="dk1"/>
              </a:solidFill>
              <a:effectLst/>
              <a:latin typeface="+mn-lt"/>
              <a:ea typeface="+mn-ea"/>
              <a:cs typeface="+mn-cs"/>
            </a:rPr>
            <a:t>, </a:t>
          </a:r>
          <a:r>
            <a:rPr lang="ru-RU" sz="1100" b="1">
              <a:solidFill>
                <a:schemeClr val="dk1"/>
              </a:solidFill>
              <a:effectLst/>
              <a:latin typeface="+mn-lt"/>
              <a:ea typeface="+mn-ea"/>
              <a:cs typeface="+mn-cs"/>
            </a:rPr>
            <a:t>36</a:t>
          </a:r>
          <a:r>
            <a:rPr lang="en-US" sz="1100" b="1">
              <a:solidFill>
                <a:schemeClr val="dk1"/>
              </a:solidFill>
              <a:effectLst/>
              <a:latin typeface="+mn-lt"/>
              <a:ea typeface="+mn-ea"/>
              <a:cs typeface="+mn-cs"/>
            </a:rPr>
            <a:t>M</a:t>
          </a:r>
          <a:r>
            <a:rPr lang="ru-RU" sz="1100">
              <a:solidFill>
                <a:schemeClr val="dk1"/>
              </a:solidFill>
              <a:effectLst/>
              <a:latin typeface="+mn-lt"/>
              <a:ea typeface="+mn-ea"/>
              <a:cs typeface="+mn-cs"/>
            </a:rPr>
            <a:t> заменяются на </a:t>
          </a:r>
          <a:r>
            <a:rPr lang="ru-RU" sz="1100" b="1">
              <a:solidFill>
                <a:schemeClr val="dk1"/>
              </a:solidFill>
              <a:effectLst/>
              <a:latin typeface="+mn-lt"/>
              <a:ea typeface="+mn-ea"/>
              <a:cs typeface="+mn-cs"/>
            </a:rPr>
            <a:t>12</a:t>
          </a:r>
          <a:r>
            <a:rPr lang="en-US" sz="1100" b="1">
              <a:solidFill>
                <a:schemeClr val="dk1"/>
              </a:solidFill>
              <a:effectLst/>
              <a:latin typeface="+mn-lt"/>
              <a:ea typeface="+mn-ea"/>
              <a:cs typeface="+mn-cs"/>
            </a:rPr>
            <a:t>M</a:t>
          </a:r>
          <a:r>
            <a:rPr lang="ru-RU" sz="1100" b="1">
              <a:solidFill>
                <a:schemeClr val="dk1"/>
              </a:solidFill>
              <a:effectLst/>
              <a:latin typeface="+mn-lt"/>
              <a:ea typeface="+mn-ea"/>
              <a:cs typeface="+mn-cs"/>
            </a:rPr>
            <a:t>247</a:t>
          </a:r>
          <a:r>
            <a:rPr lang="ru-RU" sz="1100">
              <a:solidFill>
                <a:schemeClr val="dk1"/>
              </a:solidFill>
              <a:effectLst/>
              <a:latin typeface="+mn-lt"/>
              <a:ea typeface="+mn-ea"/>
              <a:cs typeface="+mn-cs"/>
            </a:rPr>
            <a:t>, </a:t>
          </a:r>
          <a:r>
            <a:rPr lang="ru-RU" sz="1100" b="1">
              <a:solidFill>
                <a:schemeClr val="dk1"/>
              </a:solidFill>
              <a:effectLst/>
              <a:latin typeface="+mn-lt"/>
              <a:ea typeface="+mn-ea"/>
              <a:cs typeface="+mn-cs"/>
            </a:rPr>
            <a:t>36</a:t>
          </a:r>
          <a:r>
            <a:rPr lang="en-US" sz="1100" b="1">
              <a:solidFill>
                <a:schemeClr val="dk1"/>
              </a:solidFill>
              <a:effectLst/>
              <a:latin typeface="+mn-lt"/>
              <a:ea typeface="+mn-ea"/>
              <a:cs typeface="+mn-cs"/>
            </a:rPr>
            <a:t>M</a:t>
          </a:r>
          <a:r>
            <a:rPr lang="ru-RU" sz="1100" b="1">
              <a:solidFill>
                <a:schemeClr val="dk1"/>
              </a:solidFill>
              <a:effectLst/>
              <a:latin typeface="+mn-lt"/>
              <a:ea typeface="+mn-ea"/>
              <a:cs typeface="+mn-cs"/>
            </a:rPr>
            <a:t>247</a:t>
          </a:r>
          <a:r>
            <a:rPr lang="ru-RU" sz="1100">
              <a:solidFill>
                <a:schemeClr val="dk1"/>
              </a:solidFill>
              <a:effectLst/>
              <a:latin typeface="+mn-lt"/>
              <a:ea typeface="+mn-ea"/>
              <a:cs typeface="+mn-cs"/>
            </a:rPr>
            <a:t> соответственно.</a:t>
          </a:r>
        </a:p>
        <a:p>
          <a:r>
            <a:rPr lang="ru-RU" sz="1100">
              <a:solidFill>
                <a:schemeClr val="dk1"/>
              </a:solidFill>
              <a:effectLst/>
              <a:latin typeface="+mn-lt"/>
              <a:ea typeface="+mn-ea"/>
              <a:cs typeface="+mn-cs"/>
            </a:rPr>
            <a:t>Возможно продление гарантийного сопровождения (совместно со стандартным или расширенным пакетом технического сопровождения). При продлении гарантийного сопровождения пользователю гарантируется не только весь объём технической поддержки, но также ремонт или замена СДЗ Dallas Lock целиком в случае невозможности ремонта (при соблюдении условий эксплуатации).</a:t>
          </a:r>
        </a:p>
        <a:p>
          <a:r>
            <a:rPr lang="ru-RU" sz="1100">
              <a:solidFill>
                <a:schemeClr val="dk1"/>
              </a:solidFill>
              <a:effectLst/>
              <a:latin typeface="+mn-lt"/>
              <a:ea typeface="+mn-ea"/>
              <a:cs typeface="+mn-cs"/>
            </a:rPr>
            <a:t>Продление гарантийного или технического сопровождения оформляется в виде сертификата на код активации гарантийной поддержки/технической поддержки. Сертификат передается по УПД или товарной накладной по форме ТОРГ-12 с оформлением счета-фактуры.</a:t>
          </a:r>
        </a:p>
        <a:p>
          <a:r>
            <a:rPr lang="ru-RU" sz="1100">
              <a:solidFill>
                <a:schemeClr val="dk1"/>
              </a:solidFill>
              <a:effectLst/>
              <a:latin typeface="+mn-lt"/>
              <a:ea typeface="+mn-ea"/>
              <a:cs typeface="+mn-cs"/>
            </a:rPr>
            <a:t>При расчете стоимости последующего гарантийного или технического сопровождения используется стоимость СДЗ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с артикулом *.12М (в том числе – в случае первичного приобретения изделий с артикулом *.36М).</a:t>
          </a:r>
        </a:p>
        <a:p>
          <a:r>
            <a:rPr lang="ru-RU" sz="1100">
              <a:solidFill>
                <a:schemeClr val="dk1"/>
              </a:solidFill>
              <a:effectLst/>
              <a:latin typeface="+mn-lt"/>
              <a:ea typeface="+mn-ea"/>
              <a:cs typeface="+mn-cs"/>
            </a:rPr>
            <a:t>Стоимость последующего </a:t>
          </a:r>
          <a:r>
            <a:rPr lang="ru-RU" sz="1100" b="1">
              <a:solidFill>
                <a:schemeClr val="dk1"/>
              </a:solidFill>
              <a:effectLst/>
              <a:latin typeface="+mn-lt"/>
              <a:ea typeface="+mn-ea"/>
              <a:cs typeface="+mn-cs"/>
            </a:rPr>
            <a:t>гарантийного сопровождения</a:t>
          </a:r>
          <a:r>
            <a:rPr lang="ru-RU" sz="1100">
              <a:solidFill>
                <a:schemeClr val="dk1"/>
              </a:solidFill>
              <a:effectLst/>
              <a:latin typeface="+mn-lt"/>
              <a:ea typeface="+mn-ea"/>
              <a:cs typeface="+mn-cs"/>
            </a:rPr>
            <a:t> (основной пакет) составляет 20% от стоимости изделий в год. При оплате гарантийного сопровождения (основной пакет) вперед на 3 года действует скидка – стоимость продления составит 55% от розничной стоимости изделий. Стоимость последующего гарантийного сопровождения (расширенный пакет «24х7») составляет 30% от стоимости изделий в год. При оплате гарантийного сопровождения (расширенный пакет «24х7») вперед на 3 года действует скидка – стоимость продления составит 85% от стоимости изделий. При продлении гарантийного сопровождения оплачивается также весь период с момента окончания гарантийного или технического сопровождения.</a:t>
          </a:r>
        </a:p>
        <a:p>
          <a:r>
            <a:rPr lang="ru-RU" sz="1100">
              <a:solidFill>
                <a:schemeClr val="dk1"/>
              </a:solidFill>
              <a:effectLst/>
              <a:latin typeface="+mn-lt"/>
              <a:ea typeface="+mn-ea"/>
              <a:cs typeface="+mn-cs"/>
            </a:rPr>
            <a:t>Стоимость последующего </a:t>
          </a:r>
          <a:r>
            <a:rPr lang="ru-RU" sz="1100" b="1">
              <a:solidFill>
                <a:schemeClr val="dk1"/>
              </a:solidFill>
              <a:effectLst/>
              <a:latin typeface="+mn-lt"/>
              <a:ea typeface="+mn-ea"/>
              <a:cs typeface="+mn-cs"/>
            </a:rPr>
            <a:t>технического сопровождения</a:t>
          </a:r>
          <a:r>
            <a:rPr lang="ru-RU" sz="1100">
              <a:solidFill>
                <a:schemeClr val="dk1"/>
              </a:solidFill>
              <a:effectLst/>
              <a:latin typeface="+mn-lt"/>
              <a:ea typeface="+mn-ea"/>
              <a:cs typeface="+mn-cs"/>
            </a:rPr>
            <a:t> (основной пакет) составляет 10% от стоимости изделий в год. При оплате технического сопровождения (основной пакет) вперед на 3 года действует скидка – стоимость продления составит 25% от розничной стоимости изделий. Стоимость последующего технического сопровождения (расширенный пакет «24х7») составляет 15% от стоимости изделий в год. При оплате технического сопровождения (расширенный пакет «24х7») вперед на 3 года действует скидка – стоимость продления составит 40% от стоимости изделий. При продлении технического сопровождения оплачивается также весь период с момента окончания гарантийного или технического сопровождения.</a:t>
          </a:r>
        </a:p>
        <a:p>
          <a:r>
            <a:rPr lang="ru-RU" sz="1100">
              <a:solidFill>
                <a:schemeClr val="dk1"/>
              </a:solidFill>
              <a:effectLst/>
              <a:latin typeface="+mn-lt"/>
              <a:ea typeface="+mn-ea"/>
              <a:cs typeface="+mn-cs"/>
            </a:rPr>
            <a:t>При продлении технического сопровождения пользователю обеспечивается только весь объём технической поддержки в соответствии с выбранным пакетом, но не обеспечивается ремонт или замена отдельных компонентов или СДЗ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целиком в случае невозможности ремонта (даже при соблюдении условий эксплуатации).</a:t>
          </a:r>
        </a:p>
        <a:p>
          <a:pPr algn="just"/>
          <a:endParaRPr lang="ru-RU"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3</xdr:col>
      <xdr:colOff>127000</xdr:colOff>
      <xdr:row>31</xdr:row>
      <xdr:rowOff>8721</xdr:rowOff>
    </xdr:from>
    <xdr:to>
      <xdr:col>13</xdr:col>
      <xdr:colOff>0</xdr:colOff>
      <xdr:row>55</xdr:row>
      <xdr:rowOff>95250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5965825" y="11924496"/>
          <a:ext cx="6302375" cy="8659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1">
              <a:solidFill>
                <a:schemeClr val="dk1"/>
              </a:solidFill>
              <a:effectLst/>
              <a:latin typeface="+mn-lt"/>
              <a:ea typeface="+mn-ea"/>
              <a:cs typeface="+mn-cs"/>
            </a:rPr>
            <a:t>Сертифицированный комплект для установки СДЗ УБ </a:t>
          </a:r>
          <a:r>
            <a:rPr lang="ru-RU" sz="1100">
              <a:solidFill>
                <a:schemeClr val="dk1"/>
              </a:solidFill>
              <a:effectLst/>
              <a:latin typeface="+mn-lt"/>
              <a:ea typeface="+mn-ea"/>
              <a:cs typeface="+mn-cs"/>
            </a:rPr>
            <a:t>(программный  модуль доверенной загрузки уровня </a:t>
          </a:r>
          <a:r>
            <a:rPr lang="en-US" sz="1100">
              <a:solidFill>
                <a:schemeClr val="dk1"/>
              </a:solidFill>
              <a:effectLst/>
              <a:latin typeface="+mn-lt"/>
              <a:ea typeface="+mn-ea"/>
              <a:cs typeface="+mn-cs"/>
            </a:rPr>
            <a:t>BIOS</a:t>
          </a:r>
          <a:r>
            <a:rPr lang="ru-RU" sz="1100">
              <a:solidFill>
                <a:schemeClr val="dk1"/>
              </a:solidFill>
              <a:effectLst/>
              <a:latin typeface="+mn-lt"/>
              <a:ea typeface="+mn-ea"/>
              <a:cs typeface="+mn-cs"/>
            </a:rPr>
            <a:t>)</a:t>
          </a:r>
        </a:p>
        <a:p>
          <a:r>
            <a:rPr lang="en-US" sz="1100">
              <a:solidFill>
                <a:schemeClr val="dk1"/>
              </a:solidFill>
              <a:effectLst/>
              <a:latin typeface="+mn-lt"/>
              <a:ea typeface="+mn-ea"/>
              <a:cs typeface="+mn-cs"/>
            </a:rPr>
            <a:t>USB</a:t>
          </a:r>
          <a:r>
            <a:rPr lang="ru-RU" sz="1100">
              <a:solidFill>
                <a:schemeClr val="dk1"/>
              </a:solidFill>
              <a:effectLst/>
              <a:latin typeface="+mn-lt"/>
              <a:ea typeface="+mn-ea"/>
              <a:cs typeface="+mn-cs"/>
            </a:rPr>
            <a:t>-накопитель с ПО СДЗ УБ и документацией в электронном виде; формуляр; копия сертификата ФСТЭК России; краткое руководство.</a:t>
          </a:r>
        </a:p>
        <a:p>
          <a:r>
            <a:rPr lang="ru-RU" sz="1100" b="1">
              <a:solidFill>
                <a:schemeClr val="dk1"/>
              </a:solidFill>
              <a:effectLst/>
              <a:latin typeface="+mn-lt"/>
              <a:ea typeface="+mn-ea"/>
              <a:cs typeface="+mn-cs"/>
            </a:rPr>
            <a:t>Техническая поддержка</a:t>
          </a:r>
          <a:endParaRPr lang="ru-RU" sz="1100">
            <a:solidFill>
              <a:schemeClr val="dk1"/>
            </a:solidFill>
            <a:effectLst/>
            <a:latin typeface="+mn-lt"/>
            <a:ea typeface="+mn-ea"/>
            <a:cs typeface="+mn-cs"/>
          </a:endParaRPr>
        </a:p>
        <a:p>
          <a:r>
            <a:rPr lang="ru-RU" sz="1100">
              <a:solidFill>
                <a:schemeClr val="dk1"/>
              </a:solidFill>
              <a:effectLst/>
              <a:latin typeface="+mn-lt"/>
              <a:ea typeface="+mn-ea"/>
              <a:cs typeface="+mn-cs"/>
            </a:rPr>
            <a:t>При первичном приобретении техническая поддержка(основной пакет) в течение 1 года включено в стоимость (окончание артикула </a:t>
          </a:r>
          <a:r>
            <a:rPr lang="en-US" sz="1100">
              <a:solidFill>
                <a:schemeClr val="dk1"/>
              </a:solidFill>
              <a:effectLst/>
              <a:latin typeface="+mn-lt"/>
              <a:ea typeface="+mn-ea"/>
              <a:cs typeface="+mn-cs"/>
            </a:rPr>
            <a:t>z</a:t>
          </a:r>
          <a:r>
            <a:rPr lang="ru-RU" sz="1100">
              <a:solidFill>
                <a:schemeClr val="dk1"/>
              </a:solidFill>
              <a:effectLst/>
              <a:latin typeface="+mn-lt"/>
              <a:ea typeface="+mn-ea"/>
              <a:cs typeface="+mn-cs"/>
            </a:rPr>
            <a:t> = 12</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В случае приобретения лицензий с технической поддержкой (основной пакет) на 3 года, стоимость лицензии умножается на коэффициент 1,35 (</a:t>
          </a:r>
          <a:r>
            <a:rPr lang="en-US" sz="1100">
              <a:solidFill>
                <a:schemeClr val="dk1"/>
              </a:solidFill>
              <a:effectLst/>
              <a:latin typeface="+mn-lt"/>
              <a:ea typeface="+mn-ea"/>
              <a:cs typeface="+mn-cs"/>
            </a:rPr>
            <a:t>z</a:t>
          </a:r>
          <a:r>
            <a:rPr lang="ru-RU" sz="1100">
              <a:solidFill>
                <a:schemeClr val="dk1"/>
              </a:solidFill>
              <a:effectLst/>
              <a:latin typeface="+mn-lt"/>
              <a:ea typeface="+mn-ea"/>
              <a:cs typeface="+mn-cs"/>
            </a:rPr>
            <a:t> =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12</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заменяются на 12</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247, 36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247 соответственно.</a:t>
          </a:r>
        </a:p>
        <a:p>
          <a:r>
            <a:rPr lang="ru-RU" sz="110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Сертификат передается по УПД или товарной накладной по форме ТОРГ-12 с оформлением счета-фактуры.</a:t>
          </a:r>
        </a:p>
        <a:p>
          <a:r>
            <a:rPr lang="ru-RU" sz="110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en-US" sz="1100" b="0" i="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ru-RU" sz="1100">
              <a:solidFill>
                <a:schemeClr val="dk1"/>
              </a:solidFill>
              <a:effectLst/>
              <a:latin typeface="+mn-lt"/>
              <a:ea typeface="+mn-ea"/>
              <a:cs typeface="+mn-cs"/>
            </a:rPr>
            <a:t>.</a:t>
          </a:r>
        </a:p>
        <a:p>
          <a:r>
            <a:rPr lang="ru-RU" sz="1100">
              <a:solidFill>
                <a:schemeClr val="dk1"/>
              </a:solidFill>
              <a:effectLst/>
              <a:latin typeface="+mn-lt"/>
              <a:ea typeface="+mn-ea"/>
              <a:cs typeface="+mn-cs"/>
            </a:rPr>
            <a:t>Пользователи программного обеспечения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в рамках непрерывно действующего технического сопровождения имеют право бесплатного обновления дистрибутива. Оплачивается только стоимость новых сертифицированных комплектов для установки и 1 год (3 года для лицензий с артикулом *.36</a:t>
          </a:r>
          <a:r>
            <a:rPr lang="en-US" sz="1100">
              <a:solidFill>
                <a:schemeClr val="dk1"/>
              </a:solidFill>
              <a:effectLst/>
              <a:latin typeface="+mn-lt"/>
              <a:ea typeface="+mn-ea"/>
              <a:cs typeface="+mn-cs"/>
            </a:rPr>
            <a:t>M</a:t>
          </a:r>
          <a:r>
            <a:rPr lang="ru-RU" sz="1100">
              <a:solidFill>
                <a:schemeClr val="dk1"/>
              </a:solidFill>
              <a:effectLst/>
              <a:latin typeface="+mn-lt"/>
              <a:ea typeface="+mn-ea"/>
              <a:cs typeface="+mn-cs"/>
            </a:rPr>
            <a:t>) технической поддержки.</a:t>
          </a:r>
        </a:p>
        <a:p>
          <a:r>
            <a:rPr lang="ru-RU" sz="1100" b="1">
              <a:solidFill>
                <a:schemeClr val="dk1"/>
              </a:solidFill>
              <a:effectLst/>
              <a:latin typeface="+mn-lt"/>
              <a:ea typeface="+mn-ea"/>
              <a:cs typeface="+mn-cs"/>
            </a:rPr>
            <a:t> </a:t>
          </a:r>
          <a:endParaRPr lang="ru-RU" sz="1100">
            <a:solidFill>
              <a:schemeClr val="dk1"/>
            </a:solidFill>
            <a:effectLst/>
            <a:latin typeface="+mn-lt"/>
            <a:ea typeface="+mn-ea"/>
            <a:cs typeface="+mn-cs"/>
          </a:endParaRPr>
        </a:p>
        <a:p>
          <a:r>
            <a:rPr lang="ru-RU" sz="1100" b="1">
              <a:solidFill>
                <a:schemeClr val="dk1"/>
              </a:solidFill>
              <a:effectLst/>
              <a:latin typeface="+mn-lt"/>
              <a:ea typeface="+mn-ea"/>
              <a:cs typeface="+mn-cs"/>
            </a:rPr>
            <a:t>Комментарии</a:t>
          </a:r>
          <a:endParaRPr lang="ru-RU" sz="1100">
            <a:solidFill>
              <a:schemeClr val="dk1"/>
            </a:solidFill>
            <a:effectLst/>
            <a:latin typeface="+mn-lt"/>
            <a:ea typeface="+mn-ea"/>
            <a:cs typeface="+mn-cs"/>
          </a:endParaRPr>
        </a:p>
        <a:p>
          <a:r>
            <a:rPr lang="ru-RU" sz="1100">
              <a:solidFill>
                <a:schemeClr val="dk1"/>
              </a:solidFill>
              <a:effectLst/>
              <a:latin typeface="+mn-lt"/>
              <a:ea typeface="+mn-ea"/>
              <a:cs typeface="+mn-cs"/>
            </a:rPr>
            <a:t>• Поддерживается широкий спектр аппаратных идентификаторов: </a:t>
          </a:r>
          <a:r>
            <a:rPr lang="en-US" sz="1100">
              <a:solidFill>
                <a:schemeClr val="dk1"/>
              </a:solidFill>
              <a:effectLst/>
              <a:latin typeface="+mn-lt"/>
              <a:ea typeface="+mn-ea"/>
              <a:cs typeface="+mn-cs"/>
            </a:rPr>
            <a:t>eToken</a:t>
          </a:r>
          <a:r>
            <a:rPr lang="ru-RU" sz="1100">
              <a:solidFill>
                <a:schemeClr val="dk1"/>
              </a:solidFill>
              <a:effectLst/>
              <a:latin typeface="+mn-lt"/>
              <a:ea typeface="+mn-ea"/>
              <a:cs typeface="+mn-cs"/>
            </a:rPr>
            <a:t>, Рутокен, </a:t>
          </a:r>
          <a:r>
            <a:rPr lang="en-US" sz="1100">
              <a:solidFill>
                <a:schemeClr val="dk1"/>
              </a:solidFill>
              <a:effectLst/>
              <a:latin typeface="+mn-lt"/>
              <a:ea typeface="+mn-ea"/>
              <a:cs typeface="+mn-cs"/>
            </a:rPr>
            <a:t>iButton</a:t>
          </a:r>
          <a:r>
            <a:rPr lang="ru-RU" sz="1100">
              <a:solidFill>
                <a:schemeClr val="dk1"/>
              </a:solidFill>
              <a:effectLst/>
              <a:latin typeface="+mn-lt"/>
              <a:ea typeface="+mn-ea"/>
              <a:cs typeface="+mn-cs"/>
            </a:rPr>
            <a:t>, </a:t>
          </a:r>
          <a:r>
            <a:rPr lang="en-US" sz="1100">
              <a:solidFill>
                <a:schemeClr val="dk1"/>
              </a:solidFill>
              <a:effectLst/>
              <a:latin typeface="+mn-lt"/>
              <a:ea typeface="+mn-ea"/>
              <a:cs typeface="+mn-cs"/>
            </a:rPr>
            <a:t>eSmart</a:t>
          </a:r>
          <a:r>
            <a:rPr lang="ru-RU" sz="1100">
              <a:solidFill>
                <a:schemeClr val="dk1"/>
              </a:solidFill>
              <a:effectLst/>
              <a:latin typeface="+mn-lt"/>
              <a:ea typeface="+mn-ea"/>
              <a:cs typeface="+mn-cs"/>
            </a:rPr>
            <a:t>, </a:t>
          </a:r>
          <a:r>
            <a:rPr lang="en-US" sz="1100">
              <a:solidFill>
                <a:schemeClr val="dk1"/>
              </a:solidFill>
              <a:effectLst/>
              <a:latin typeface="+mn-lt"/>
              <a:ea typeface="+mn-ea"/>
              <a:cs typeface="+mn-cs"/>
            </a:rPr>
            <a:t>Touch Memory</a:t>
          </a:r>
          <a:r>
            <a:rPr lang="ru-RU" sz="1100">
              <a:solidFill>
                <a:schemeClr val="dk1"/>
              </a:solidFill>
              <a:effectLst/>
              <a:latin typeface="+mn-lt"/>
              <a:ea typeface="+mn-ea"/>
              <a:cs typeface="+mn-cs"/>
            </a:rPr>
            <a:t>.</a:t>
          </a:r>
        </a:p>
        <a:p>
          <a:r>
            <a:rPr lang="ru-RU" sz="1100">
              <a:solidFill>
                <a:schemeClr val="dk1"/>
              </a:solidFill>
              <a:effectLst/>
              <a:latin typeface="+mn-lt"/>
              <a:ea typeface="+mn-ea"/>
              <a:cs typeface="+mn-cs"/>
            </a:rPr>
            <a:t>• Реализован и сертифицирован механизм централизованного управления настройками СДЗ из консоли ЕЦУ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Для централизованного управления СДЗ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необходим ЕЦУ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с соответствующим количеством квот на клиентские подключения. Квота клиентских подключений СДЗ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к ЕЦУ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равна суммарному количеству квот на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a:t>
          </a:r>
        </a:p>
        <a:p>
          <a:r>
            <a:rPr lang="ru-RU" sz="1100">
              <a:solidFill>
                <a:schemeClr val="dk1"/>
              </a:solidFill>
              <a:effectLst/>
              <a:latin typeface="+mn-lt"/>
              <a:ea typeface="+mn-ea"/>
              <a:cs typeface="+mn-cs"/>
            </a:rPr>
            <a:t>• Комплекс СЗИ, включающий средство централизованного сетевого управления (ЕЦУ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может быть использован для защиты сведений, составляющих государственную тайну до уровня совершенно секретно при использовании соответствующих версий и редакций продуктов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a:t>
          </a:r>
        </a:p>
        <a:p>
          <a:r>
            <a:rPr lang="ru-RU" sz="1100">
              <a:solidFill>
                <a:schemeClr val="dk1"/>
              </a:solidFill>
              <a:effectLst/>
              <a:latin typeface="+mn-lt"/>
              <a:ea typeface="+mn-ea"/>
              <a:cs typeface="+mn-cs"/>
            </a:rPr>
            <a:t>• Для централизованного управления СДЗ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УБ (уровня </a:t>
          </a:r>
          <a:r>
            <a:rPr lang="en-US" sz="1100">
              <a:solidFill>
                <a:schemeClr val="dk1"/>
              </a:solidFill>
              <a:effectLst/>
              <a:latin typeface="+mn-lt"/>
              <a:ea typeface="+mn-ea"/>
              <a:cs typeface="+mn-cs"/>
            </a:rPr>
            <a:t>BIOS) </a:t>
          </a:r>
          <a:r>
            <a:rPr lang="ru-RU" sz="1100">
              <a:solidFill>
                <a:schemeClr val="dk1"/>
              </a:solidFill>
              <a:effectLst/>
              <a:latin typeface="+mn-lt"/>
              <a:ea typeface="+mn-ea"/>
              <a:cs typeface="+mn-cs"/>
            </a:rPr>
            <a:t>необходим ЕЦУ </a:t>
          </a:r>
          <a:r>
            <a:rPr lang="en-US" sz="1100">
              <a:solidFill>
                <a:schemeClr val="dk1"/>
              </a:solidFill>
              <a:effectLst/>
              <a:latin typeface="+mn-lt"/>
              <a:ea typeface="+mn-ea"/>
              <a:cs typeface="+mn-cs"/>
            </a:rPr>
            <a:t>Dallas Lock</a:t>
          </a:r>
          <a:r>
            <a:rPr lang="ru-RU" sz="1100">
              <a:solidFill>
                <a:schemeClr val="dk1"/>
              </a:solidFill>
              <a:effectLst/>
              <a:latin typeface="+mn-lt"/>
              <a:ea typeface="+mn-ea"/>
              <a:cs typeface="+mn-cs"/>
            </a:rPr>
            <a:t> версии не ниже 176.</a:t>
          </a:r>
        </a:p>
        <a:p>
          <a:r>
            <a:rPr lang="ru-RU" sz="1100">
              <a:solidFill>
                <a:schemeClr val="dk1"/>
              </a:solidFill>
              <a:effectLst/>
              <a:latin typeface="+mn-lt"/>
              <a:ea typeface="+mn-ea"/>
              <a:cs typeface="+mn-cs"/>
            </a:rPr>
            <a:t>• Изделие СДЗ </a:t>
          </a:r>
          <a:r>
            <a:rPr lang="en-US" sz="1100">
              <a:solidFill>
                <a:schemeClr val="dk1"/>
              </a:solidFill>
              <a:effectLst/>
              <a:latin typeface="+mn-lt"/>
              <a:ea typeface="+mn-ea"/>
              <a:cs typeface="+mn-cs"/>
            </a:rPr>
            <a:t>Dallas Lock </a:t>
          </a:r>
          <a:r>
            <a:rPr lang="ru-RU" sz="1100">
              <a:solidFill>
                <a:schemeClr val="dk1"/>
              </a:solidFill>
              <a:effectLst/>
              <a:latin typeface="+mn-lt"/>
              <a:ea typeface="+mn-ea"/>
              <a:cs typeface="+mn-cs"/>
            </a:rPr>
            <a:t>находится на сертификации на соответсвие требованиям ФСТЭК</a:t>
          </a:r>
          <a:r>
            <a:rPr lang="ru-RU" sz="1100" baseline="0">
              <a:solidFill>
                <a:schemeClr val="dk1"/>
              </a:solidFill>
              <a:effectLst/>
              <a:latin typeface="+mn-lt"/>
              <a:ea typeface="+mn-ea"/>
              <a:cs typeface="+mn-cs"/>
            </a:rPr>
            <a:t> России (</a:t>
          </a:r>
          <a:r>
            <a:rPr lang="ru-RU" sz="1100">
              <a:solidFill>
                <a:schemeClr val="dk1"/>
              </a:solidFill>
              <a:effectLst/>
              <a:latin typeface="+mn-lt"/>
              <a:ea typeface="+mn-ea"/>
              <a:cs typeface="+mn-cs"/>
            </a:rPr>
            <a:t>ИТ.СДЗ.УБ2.ПЗ,</a:t>
          </a:r>
          <a:r>
            <a:rPr lang="ru-RU" sz="1100" baseline="0">
              <a:solidFill>
                <a:schemeClr val="dk1"/>
              </a:solidFill>
              <a:effectLst/>
              <a:latin typeface="+mn-lt"/>
              <a:ea typeface="+mn-ea"/>
              <a:cs typeface="+mn-cs"/>
            </a:rPr>
            <a:t> УД2)</a:t>
          </a:r>
          <a:r>
            <a:rPr lang="ru-RU" sz="1100">
              <a:solidFill>
                <a:schemeClr val="dk1"/>
              </a:solidFill>
              <a:effectLst/>
              <a:latin typeface="+mn-lt"/>
              <a:ea typeface="+mn-ea"/>
              <a:cs typeface="+mn-cs"/>
            </a:rPr>
            <a:t>. Окончание процедуры - в 1 квартале 2024г.</a:t>
          </a:r>
          <a:endParaRPr lang="ru-RU">
            <a:effectLst/>
          </a:endParaRPr>
        </a:p>
        <a:p>
          <a:endParaRPr lang="ru-RU" sz="1100">
            <a:solidFill>
              <a:schemeClr val="dk1"/>
            </a:solidFill>
            <a:effectLst/>
            <a:latin typeface="+mn-lt"/>
            <a:ea typeface="+mn-ea"/>
            <a:cs typeface="+mn-cs"/>
          </a:endParaRPr>
        </a:p>
        <a:p>
          <a:endParaRPr lang="ru-RU">
            <a:solidFill>
              <a:srgbClr val="FF0000"/>
            </a:solidFill>
            <a:effectLst/>
          </a:endParaRPr>
        </a:p>
      </xdr:txBody>
    </xdr:sp>
    <xdr:clientData/>
  </xdr:twoCellAnchor>
  <xdr:twoCellAnchor>
    <xdr:from>
      <xdr:col>0</xdr:col>
      <xdr:colOff>0</xdr:colOff>
      <xdr:row>56</xdr:row>
      <xdr:rowOff>39149</xdr:rowOff>
    </xdr:from>
    <xdr:to>
      <xdr:col>18</xdr:col>
      <xdr:colOff>31750</xdr:colOff>
      <xdr:row>63</xdr:row>
      <xdr:rowOff>95253</xdr:rowOff>
    </xdr:to>
    <xdr:grpSp>
      <xdr:nvGrpSpPr>
        <xdr:cNvPr id="9" name="Группа 8">
          <a:extLst>
            <a:ext uri="{FF2B5EF4-FFF2-40B4-BE49-F238E27FC236}">
              <a16:creationId xmlns:a16="http://schemas.microsoft.com/office/drawing/2014/main" xmlns="" id="{00000000-0008-0000-0200-000009000000}"/>
            </a:ext>
          </a:extLst>
        </xdr:cNvPr>
        <xdr:cNvGrpSpPr/>
      </xdr:nvGrpSpPr>
      <xdr:grpSpPr>
        <a:xfrm>
          <a:off x="0" y="20717924"/>
          <a:ext cx="12538075" cy="1389604"/>
          <a:chOff x="-176" y="12682448"/>
          <a:chExt cx="12491531" cy="1791075"/>
        </a:xfrm>
      </xdr:grpSpPr>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76" y="12851633"/>
            <a:ext cx="12491531" cy="1621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Arial" panose="020B0604020202020204" pitchFamily="34" charset="0"/>
              </a:rPr>
              <a:t>* DLTBC</a:t>
            </a:r>
            <a:r>
              <a:rPr lang="en-US" sz="1100" b="0" i="0" baseline="0">
                <a:solidFill>
                  <a:schemeClr val="dk1"/>
                </a:solidFill>
                <a:effectLst/>
                <a:latin typeface="+mn-lt"/>
                <a:ea typeface="+mn-ea"/>
                <a:cs typeface="+mn-cs"/>
              </a:rPr>
              <a:t> – </a:t>
            </a:r>
            <a:r>
              <a:rPr lang="ru-RU" sz="1100" b="0" i="0" baseline="0">
                <a:solidFill>
                  <a:schemeClr val="dk1"/>
                </a:solidFill>
                <a:effectLst/>
                <a:latin typeface="+mn-lt"/>
                <a:ea typeface="+mn-ea"/>
                <a:cs typeface="+mn-cs"/>
              </a:rPr>
              <a:t>СДЗ уровня платы расширения с сертификатом соответствия ФСТЭК России (для поставок СДЗ с сертификатом соответствия Минобороны России необходимо в артикулах вместо </a:t>
            </a:r>
            <a:r>
              <a:rPr lang="en-US" sz="1100" b="0" i="0" baseline="0">
                <a:solidFill>
                  <a:schemeClr val="dk1"/>
                </a:solidFill>
                <a:effectLst/>
                <a:latin typeface="+mn-lt"/>
                <a:ea typeface="+mn-ea"/>
                <a:cs typeface="+mn-cs"/>
              </a:rPr>
              <a:t>DLTBC </a:t>
            </a:r>
            <a:r>
              <a:rPr lang="ru-RU" sz="1100" b="0" i="0" baseline="0">
                <a:solidFill>
                  <a:schemeClr val="dk1"/>
                </a:solidFill>
                <a:effectLst/>
                <a:latin typeface="+mn-lt"/>
                <a:ea typeface="+mn-ea"/>
                <a:cs typeface="+mn-cs"/>
              </a:rPr>
              <a:t>использовать </a:t>
            </a:r>
            <a:r>
              <a:rPr lang="en-US" sz="1100" b="0" i="0" baseline="0">
                <a:solidFill>
                  <a:schemeClr val="dk1"/>
                </a:solidFill>
                <a:effectLst/>
                <a:latin typeface="+mn-lt"/>
                <a:ea typeface="+mn-ea"/>
                <a:cs typeface="+mn-cs"/>
              </a:rPr>
              <a:t>DLTBCMO</a:t>
            </a:r>
            <a:r>
              <a:rPr lang="ru-RU" sz="1100" b="0" i="0" baseline="0">
                <a:solidFill>
                  <a:schemeClr val="dk1"/>
                </a:solidFill>
                <a:effectLst/>
                <a:latin typeface="+mn-lt"/>
                <a:ea typeface="+mn-ea"/>
                <a:cs typeface="+mn-cs"/>
              </a:rPr>
              <a:t>); </a:t>
            </a:r>
            <a:r>
              <a:rPr lang="en-US" sz="1100" b="0" i="0" u="none" strike="noStrike" baseline="0">
                <a:solidFill>
                  <a:schemeClr val="dk1"/>
                </a:solidFill>
                <a:latin typeface="+mn-lt"/>
                <a:ea typeface="+mn-ea"/>
                <a:cs typeface="Arial" panose="020B0604020202020204" pitchFamily="34" charset="0"/>
              </a:rPr>
              <a:t>«x» – </a:t>
            </a:r>
            <a:r>
              <a:rPr lang="ru-RU" sz="1100" b="0" i="0" u="none" strike="noStrike" baseline="0">
                <a:solidFill>
                  <a:schemeClr val="dk1"/>
                </a:solidFill>
                <a:latin typeface="+mn-lt"/>
                <a:ea typeface="+mn-ea"/>
                <a:cs typeface="Arial" panose="020B0604020202020204" pitchFamily="34" charset="0"/>
              </a:rPr>
              <a:t>форм-фактор: </a:t>
            </a:r>
            <a:r>
              <a:rPr lang="en-US" sz="1100" b="0" i="0" u="none" strike="noStrike" baseline="0">
                <a:solidFill>
                  <a:schemeClr val="dk1"/>
                </a:solidFill>
                <a:latin typeface="+mn-lt"/>
                <a:ea typeface="+mn-ea"/>
                <a:cs typeface="Arial" panose="020B0604020202020204" pitchFamily="34" charset="0"/>
              </a:rPr>
              <a:t>PCIE – PCI-Express Full Size</a:t>
            </a:r>
            <a:r>
              <a:rPr lang="ru-RU" sz="1100" b="0" i="0" u="none" strike="noStrike" baseline="0">
                <a:solidFill>
                  <a:schemeClr val="dk1"/>
                </a:solidFill>
                <a:latin typeface="+mn-lt"/>
                <a:ea typeface="+mn-ea"/>
                <a:cs typeface="Arial" panose="020B0604020202020204" pitchFamily="34" charset="0"/>
              </a:rPr>
              <a:t>, </a:t>
            </a:r>
            <a:r>
              <a:rPr lang="en-US" sz="1100" b="0" i="0" u="none" strike="noStrike" baseline="0">
                <a:solidFill>
                  <a:schemeClr val="dk1"/>
                </a:solidFill>
                <a:latin typeface="+mn-lt"/>
                <a:ea typeface="+mn-ea"/>
                <a:cs typeface="Arial" panose="020B0604020202020204" pitchFamily="34" charset="0"/>
              </a:rPr>
              <a:t>MPCIE – mini PCI-Express Half Size</a:t>
            </a:r>
            <a:r>
              <a:rPr lang="ru-RU" sz="1100" b="0" i="0" u="none" strike="noStrike" baseline="0">
                <a:solidFill>
                  <a:schemeClr val="dk1"/>
                </a:solidFill>
                <a:latin typeface="+mn-lt"/>
                <a:ea typeface="+mn-ea"/>
                <a:cs typeface="Arial" panose="020B0604020202020204" pitchFamily="34" charset="0"/>
              </a:rPr>
              <a:t>, </a:t>
            </a:r>
            <a:r>
              <a:rPr lang="en-US" sz="1100" b="0" i="0" u="none" strike="noStrike" baseline="0">
                <a:solidFill>
                  <a:schemeClr val="dk1"/>
                </a:solidFill>
                <a:latin typeface="+mn-lt"/>
                <a:ea typeface="+mn-ea"/>
                <a:cs typeface="Arial" panose="020B0604020202020204" pitchFamily="34" charset="0"/>
              </a:rPr>
              <a:t>M2 – M.2</a:t>
            </a:r>
            <a:r>
              <a:rPr lang="ru-RU" sz="1100" b="0" i="0" u="none" strike="noStrike" baseline="0">
                <a:solidFill>
                  <a:schemeClr val="dk1"/>
                </a:solidFill>
                <a:latin typeface="+mn-lt"/>
                <a:ea typeface="+mn-ea"/>
                <a:cs typeface="Arial" panose="020B0604020202020204" pitchFamily="34" charset="0"/>
              </a:rPr>
              <a:t>; «</a:t>
            </a:r>
            <a:r>
              <a:rPr lang="en-US" sz="1100" b="0" i="0" u="none" strike="noStrike" baseline="0">
                <a:solidFill>
                  <a:schemeClr val="dk1"/>
                </a:solidFill>
                <a:latin typeface="+mn-lt"/>
                <a:ea typeface="+mn-ea"/>
                <a:cs typeface="Arial" panose="020B0604020202020204" pitchFamily="34" charset="0"/>
              </a:rPr>
              <a:t>y» – </a:t>
            </a:r>
            <a:r>
              <a:rPr lang="ru-RU" sz="1100" b="0" i="0" u="none" strike="noStrike" baseline="0">
                <a:solidFill>
                  <a:schemeClr val="dk1"/>
                </a:solidFill>
                <a:latin typeface="+mn-lt"/>
                <a:ea typeface="+mn-ea"/>
                <a:cs typeface="Arial" panose="020B0604020202020204" pitchFamily="34" charset="0"/>
              </a:rPr>
              <a:t>диапазон количества приобретаемых СДЗ</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В стоимость входит НДС 20%.</a:t>
            </a:r>
          </a:p>
          <a:p>
            <a:r>
              <a:rPr lang="ru-RU" sz="1100" b="0" i="0">
                <a:solidFill>
                  <a:schemeClr val="dk1"/>
                </a:solidFill>
                <a:effectLst/>
                <a:latin typeface="+mn-lt"/>
                <a:ea typeface="+mn-ea"/>
                <a:cs typeface="+mn-cs"/>
              </a:rPr>
              <a:t>*** На основании статьи № 149 п. 2 пп. 26 НК РФ стоимость передаваемых неисключительных прав на используемое программное обеспечение не облагается НДС.</a:t>
            </a:r>
          </a:p>
          <a:p>
            <a:r>
              <a:rPr lang="ru-RU" sz="1100" b="0" i="0">
                <a:solidFill>
                  <a:schemeClr val="dk1"/>
                </a:solidFill>
                <a:effectLst/>
                <a:latin typeface="+mn-lt"/>
                <a:ea typeface="+mn-ea"/>
                <a:cs typeface="+mn-cs"/>
              </a:rPr>
              <a:t>****</a:t>
            </a:r>
            <a:r>
              <a:rPr lang="ru-RU"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В стоимость входит НДС 20%.</a:t>
            </a:r>
          </a:p>
          <a:p>
            <a:endParaRPr lang="ru-RU" sz="1100" b="0" i="0" u="none" strike="noStrike" baseline="0">
              <a:solidFill>
                <a:schemeClr val="dk1"/>
              </a:solidFill>
              <a:latin typeface="+mn-lt"/>
              <a:ea typeface="+mn-ea"/>
              <a:cs typeface="Arial" panose="020B0604020202020204" pitchFamily="34" charset="0"/>
            </a:endParaRPr>
          </a:p>
        </xdr:txBody>
      </xdr:sp>
      <xdr:cxnSp macro="">
        <xdr:nvCxnSpPr>
          <xdr:cNvPr id="11" name="Прямая соединительная линия 10">
            <a:extLst>
              <a:ext uri="{FF2B5EF4-FFF2-40B4-BE49-F238E27FC236}">
                <a16:creationId xmlns:a16="http://schemas.microsoft.com/office/drawing/2014/main" xmlns="" id="{00000000-0008-0000-0200-00000B000000}"/>
              </a:ext>
            </a:extLst>
          </xdr:cNvPr>
          <xdr:cNvCxnSpPr/>
        </xdr:nvCxnSpPr>
        <xdr:spPr>
          <a:xfrm>
            <a:off x="11533" y="12682448"/>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0</xdr:col>
      <xdr:colOff>0</xdr:colOff>
      <xdr:row>51</xdr:row>
      <xdr:rowOff>122310</xdr:rowOff>
    </xdr:from>
    <xdr:to>
      <xdr:col>12</xdr:col>
      <xdr:colOff>56914</xdr:colOff>
      <xdr:row>55</xdr:row>
      <xdr:rowOff>110057</xdr:rowOff>
    </xdr:to>
    <xdr:pic>
      <xdr:nvPicPr>
        <xdr:cNvPr id="12" name="Рисунок 11">
          <a:extLst>
            <a:ext uri="{FF2B5EF4-FFF2-40B4-BE49-F238E27FC236}">
              <a16:creationId xmlns:a16="http://schemas.microsoft.com/office/drawing/2014/main" xmlns="" id="{00000000-0008-0000-0200-00000C000000}"/>
            </a:ext>
          </a:extLst>
        </xdr:cNvPr>
        <xdr:cNvPicPr>
          <a:picLocks noChangeAspect="1"/>
        </xdr:cNvPicPr>
      </xdr:nvPicPr>
      <xdr:blipFill>
        <a:blip xmlns:r="http://schemas.openxmlformats.org/officeDocument/2006/relationships" r:embed="rId1"/>
        <a:stretch>
          <a:fillRect/>
        </a:stretch>
      </xdr:blipFill>
      <xdr:spPr>
        <a:xfrm>
          <a:off x="0" y="19848585"/>
          <a:ext cx="12239389" cy="749747"/>
        </a:xfrm>
        <a:prstGeom prst="rect">
          <a:avLst/>
        </a:prstGeom>
      </xdr:spPr>
    </xdr:pic>
    <xdr:clientData/>
  </xdr:twoCellAnchor>
  <xdr:twoCellAnchor editAs="oneCell">
    <xdr:from>
      <xdr:col>5</xdr:col>
      <xdr:colOff>425264</xdr:colOff>
      <xdr:row>2</xdr:row>
      <xdr:rowOff>93008</xdr:rowOff>
    </xdr:from>
    <xdr:to>
      <xdr:col>5</xdr:col>
      <xdr:colOff>603403</xdr:colOff>
      <xdr:row>2</xdr:row>
      <xdr:rowOff>282577</xdr:rowOff>
    </xdr:to>
    <xdr:pic>
      <xdr:nvPicPr>
        <xdr:cNvPr id="15" name="Рисунок 14">
          <a:extLst>
            <a:ext uri="{FF2B5EF4-FFF2-40B4-BE49-F238E27FC236}">
              <a16:creationId xmlns:a16="http://schemas.microsoft.com/office/drawing/2014/main" xmlns="" id="{00000000-0008-0000-0200-00000F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673789" y="1369358"/>
          <a:ext cx="178139" cy="189569"/>
        </a:xfrm>
        <a:prstGeom prst="rect">
          <a:avLst/>
        </a:prstGeom>
      </xdr:spPr>
    </xdr:pic>
    <xdr:clientData/>
  </xdr:twoCellAnchor>
  <xdr:twoCellAnchor>
    <xdr:from>
      <xdr:col>0</xdr:col>
      <xdr:colOff>1</xdr:colOff>
      <xdr:row>2</xdr:row>
      <xdr:rowOff>0</xdr:rowOff>
    </xdr:from>
    <xdr:to>
      <xdr:col>12</xdr:col>
      <xdr:colOff>0</xdr:colOff>
      <xdr:row>3</xdr:row>
      <xdr:rowOff>28575</xdr:rowOff>
    </xdr:to>
    <xdr:sp macro="" textlink="">
      <xdr:nvSpPr>
        <xdr:cNvPr id="17" name="Прямоугольник 16">
          <a:hlinkClick xmlns:r="http://schemas.openxmlformats.org/officeDocument/2006/relationships" r:id="rId3"/>
          <a:extLst>
            <a:ext uri="{FF2B5EF4-FFF2-40B4-BE49-F238E27FC236}">
              <a16:creationId xmlns:a16="http://schemas.microsoft.com/office/drawing/2014/main" xmlns="" id="{00000000-0008-0000-0200-000011000000}"/>
            </a:ext>
          </a:extLst>
        </xdr:cNvPr>
        <xdr:cNvSpPr/>
      </xdr:nvSpPr>
      <xdr:spPr>
        <a:xfrm>
          <a:off x="1" y="1276350"/>
          <a:ext cx="12182474"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0</xdr:colOff>
      <xdr:row>0</xdr:row>
      <xdr:rowOff>0</xdr:rowOff>
    </xdr:from>
    <xdr:to>
      <xdr:col>12</xdr:col>
      <xdr:colOff>0</xdr:colOff>
      <xdr:row>2</xdr:row>
      <xdr:rowOff>3715</xdr:rowOff>
    </xdr:to>
    <xdr:pic>
      <xdr:nvPicPr>
        <xdr:cNvPr id="18" name="Рисунок 17">
          <a:hlinkClick xmlns:r="http://schemas.openxmlformats.org/officeDocument/2006/relationships" r:id="rId4"/>
          <a:extLst>
            <a:ext uri="{FF2B5EF4-FFF2-40B4-BE49-F238E27FC236}">
              <a16:creationId xmlns:a16="http://schemas.microsoft.com/office/drawing/2014/main" xmlns="" id="{00000000-0008-0000-0200-000012000000}"/>
            </a:ext>
          </a:extLst>
        </xdr:cNvPr>
        <xdr:cNvPicPr>
          <a:picLocks noChangeAspect="1"/>
        </xdr:cNvPicPr>
      </xdr:nvPicPr>
      <xdr:blipFill>
        <a:blip xmlns:r="http://schemas.openxmlformats.org/officeDocument/2006/relationships" r:embed="rId5"/>
        <a:stretch>
          <a:fillRect/>
        </a:stretch>
      </xdr:blipFill>
      <xdr:spPr>
        <a:xfrm>
          <a:off x="0" y="0"/>
          <a:ext cx="12201524" cy="1272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533400</xdr:colOff>
          <xdr:row>5</xdr:row>
          <xdr:rowOff>95250</xdr:rowOff>
        </xdr:from>
        <xdr:to>
          <xdr:col>11</xdr:col>
          <xdr:colOff>76200</xdr:colOff>
          <xdr:row>7</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xmlns=""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19051</xdr:colOff>
      <xdr:row>29</xdr:row>
      <xdr:rowOff>28575</xdr:rowOff>
    </xdr:from>
    <xdr:to>
      <xdr:col>17</xdr:col>
      <xdr:colOff>9525</xdr:colOff>
      <xdr:row>29</xdr:row>
      <xdr:rowOff>558722</xdr:rowOff>
    </xdr:to>
    <xdr:pic>
      <xdr:nvPicPr>
        <xdr:cNvPr id="5" name="Рисунок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1" y="11172825"/>
          <a:ext cx="12258674" cy="53014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533400</xdr:colOff>
          <xdr:row>20</xdr:row>
          <xdr:rowOff>95250</xdr:rowOff>
        </xdr:from>
        <xdr:to>
          <xdr:col>11</xdr:col>
          <xdr:colOff>76200</xdr:colOff>
          <xdr:row>22</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xmlns=""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3752850</xdr:colOff>
          <xdr:row>25</xdr:row>
          <xdr:rowOff>85725</xdr:rowOff>
        </xdr:from>
        <xdr:to>
          <xdr:col>3</xdr:col>
          <xdr:colOff>0</xdr:colOff>
          <xdr:row>27</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xmlns=""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25</xdr:row>
          <xdr:rowOff>95250</xdr:rowOff>
        </xdr:from>
        <xdr:to>
          <xdr:col>11</xdr:col>
          <xdr:colOff>76200</xdr:colOff>
          <xdr:row>27</xdr:row>
          <xdr:rowOff>9525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xmlns=""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27</xdr:row>
      <xdr:rowOff>518583</xdr:rowOff>
    </xdr:from>
    <xdr:to>
      <xdr:col>3</xdr:col>
      <xdr:colOff>179915</xdr:colOff>
      <xdr:row>29</xdr:row>
      <xdr:rowOff>52915</xdr:rowOff>
    </xdr:to>
    <xdr:sp macro="" textlink="">
      <xdr:nvSpPr>
        <xdr:cNvPr id="4" name="Прямоугольник 3">
          <a:hlinkClick xmlns:r="http://schemas.openxmlformats.org/officeDocument/2006/relationships" r:id="rId7"/>
          <a:extLst>
            <a:ext uri="{FF2B5EF4-FFF2-40B4-BE49-F238E27FC236}">
              <a16:creationId xmlns:a16="http://schemas.microsoft.com/office/drawing/2014/main" xmlns="" id="{00000000-0008-0000-0200-000004000000}"/>
            </a:ext>
          </a:extLst>
        </xdr:cNvPr>
        <xdr:cNvSpPr/>
      </xdr:nvSpPr>
      <xdr:spPr>
        <a:xfrm>
          <a:off x="0" y="8170333"/>
          <a:ext cx="5947832" cy="285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mn-lt"/>
              <a:cs typeface="Arial" panose="020B0604020202020204" pitchFamily="34" charset="0"/>
            </a:rPr>
            <a:t>*</a:t>
          </a:r>
          <a:r>
            <a:rPr lang="ru-RU" sz="1100" b="1">
              <a:latin typeface="+mn-lt"/>
              <a:cs typeface="Arial" panose="020B0604020202020204" pitchFamily="34" charset="0"/>
            </a:rPr>
            <a:t>БОЛЕЕ ПОЛНЫЙ СПИСОК ВАРИАНТОВ ЕЦУ ВО ВКЛАДКЕ ЕЦУ</a:t>
          </a:r>
          <a:r>
            <a:rPr lang="ru-RU" sz="1100" b="1" baseline="0">
              <a:latin typeface="+mn-lt"/>
              <a:cs typeface="Arial" panose="020B0604020202020204" pitchFamily="34" charset="0"/>
            </a:rPr>
            <a:t> </a:t>
          </a:r>
          <a:r>
            <a:rPr lang="en-US" sz="1100" b="1" baseline="0">
              <a:latin typeface="+mn-lt"/>
              <a:cs typeface="Arial" panose="020B0604020202020204" pitchFamily="34" charset="0"/>
            </a:rPr>
            <a:t>DALLAS LOCK      </a:t>
          </a:r>
          <a:r>
            <a:rPr lang="en-US" sz="1100" b="1">
              <a:latin typeface="+mn-lt"/>
              <a:cs typeface="Arial" panose="020B0604020202020204" pitchFamily="34" charset="0"/>
            </a:rPr>
            <a:t>&gt;&gt;</a:t>
          </a:r>
          <a:endParaRPr lang="ru-RU" sz="1100" b="1">
            <a:latin typeface="+mn-lt"/>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3762375</xdr:colOff>
          <xdr:row>20</xdr:row>
          <xdr:rowOff>76200</xdr:rowOff>
        </xdr:from>
        <xdr:to>
          <xdr:col>3</xdr:col>
          <xdr:colOff>9525</xdr:colOff>
          <xdr:row>22</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xmlns=""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3752850</xdr:colOff>
          <xdr:row>5</xdr:row>
          <xdr:rowOff>95250</xdr:rowOff>
        </xdr:from>
        <xdr:to>
          <xdr:col>3</xdr:col>
          <xdr:colOff>0</xdr:colOff>
          <xdr:row>7</xdr:row>
          <xdr:rowOff>38100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xmlns=""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194179</xdr:colOff>
      <xdr:row>12</xdr:row>
      <xdr:rowOff>9525</xdr:rowOff>
    </xdr:from>
    <xdr:to>
      <xdr:col>1</xdr:col>
      <xdr:colOff>194179</xdr:colOff>
      <xdr:row>14</xdr:row>
      <xdr:rowOff>0</xdr:rowOff>
    </xdr:to>
    <xdr:cxnSp macro="">
      <xdr:nvCxnSpPr>
        <xdr:cNvPr id="23" name="Прямая соединительная линия 22">
          <a:extLst>
            <a:ext uri="{FF2B5EF4-FFF2-40B4-BE49-F238E27FC236}">
              <a16:creationId xmlns:a16="http://schemas.microsoft.com/office/drawing/2014/main" xmlns="" id="{00000000-0008-0000-0300-000017000000}"/>
            </a:ext>
          </a:extLst>
        </xdr:cNvPr>
        <xdr:cNvCxnSpPr/>
      </xdr:nvCxnSpPr>
      <xdr:spPr>
        <a:xfrm>
          <a:off x="377059" y="3308985"/>
          <a:ext cx="0" cy="2346960"/>
        </a:xfrm>
        <a:prstGeom prst="line">
          <a:avLst/>
        </a:prstGeom>
        <a:ln w="190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26</xdr:row>
      <xdr:rowOff>8724</xdr:rowOff>
    </xdr:from>
    <xdr:to>
      <xdr:col>3</xdr:col>
      <xdr:colOff>11205</xdr:colOff>
      <xdr:row>35</xdr:row>
      <xdr:rowOff>33617</xdr:rowOff>
    </xdr:to>
    <xdr:sp macro="" textlink="">
      <xdr:nvSpPr>
        <xdr:cNvPr id="2" name="TextBox 1">
          <a:extLst>
            <a:ext uri="{FF2B5EF4-FFF2-40B4-BE49-F238E27FC236}">
              <a16:creationId xmlns:a16="http://schemas.microsoft.com/office/drawing/2014/main" xmlns="" id="{00000000-0008-0000-0300-000002000000}"/>
            </a:ext>
          </a:extLst>
        </xdr:cNvPr>
        <xdr:cNvSpPr txBox="1"/>
      </xdr:nvSpPr>
      <xdr:spPr>
        <a:xfrm>
          <a:off x="0" y="9663264"/>
          <a:ext cx="6640605" cy="4688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i="0" u="none" strike="noStrike" baseline="0">
              <a:solidFill>
                <a:schemeClr val="dk1"/>
              </a:solidFill>
              <a:latin typeface="+mn-lt"/>
              <a:ea typeface="+mn-ea"/>
              <a:cs typeface="Arial" panose="020B0604020202020204" pitchFamily="34" charset="0"/>
            </a:rPr>
            <a:t>Dallas Lock Linux. </a:t>
          </a:r>
          <a:r>
            <a:rPr lang="ru-RU" sz="1100" b="1" i="0" u="none" strike="noStrike" baseline="0">
              <a:solidFill>
                <a:schemeClr val="dk1"/>
              </a:solidFill>
              <a:latin typeface="+mn-lt"/>
              <a:ea typeface="+mn-ea"/>
              <a:cs typeface="Arial" panose="020B0604020202020204" pitchFamily="34" charset="0"/>
            </a:rPr>
            <a:t>Право на использование </a:t>
          </a:r>
        </a:p>
        <a:p>
          <a:pPr algn="just"/>
          <a:r>
            <a:rPr lang="ru-RU" sz="1100" b="0" i="0" u="none" strike="noStrike" baseline="0">
              <a:solidFill>
                <a:schemeClr val="dk1"/>
              </a:solidFill>
              <a:latin typeface="+mn-lt"/>
              <a:ea typeface="+mn-ea"/>
              <a:cs typeface="Arial" panose="020B0604020202020204" pitchFamily="34" charset="0"/>
            </a:rPr>
            <a:t>• В стоимость лицензии на СЗИ </a:t>
          </a:r>
          <a:r>
            <a:rPr lang="en-US" sz="1100" b="0" i="0" u="none" strike="noStrike" baseline="0">
              <a:solidFill>
                <a:schemeClr val="dk1"/>
              </a:solidFill>
              <a:latin typeface="+mn-lt"/>
              <a:ea typeface="+mn-ea"/>
              <a:cs typeface="Arial" panose="020B0604020202020204" pitchFamily="34" charset="0"/>
            </a:rPr>
            <a:t>Dallas Lock Linux</a:t>
          </a:r>
          <a:r>
            <a:rPr lang="ru-RU" sz="1100" b="0" i="0" u="none" strike="noStrike" baseline="0">
              <a:solidFill>
                <a:schemeClr val="dk1"/>
              </a:solidFill>
              <a:latin typeface="+mn-lt"/>
              <a:ea typeface="+mn-ea"/>
              <a:cs typeface="Arial" panose="020B0604020202020204" pitchFamily="34" charset="0"/>
            </a:rPr>
            <a:t> (НСД, СКН) или СЗИ </a:t>
          </a:r>
          <a:r>
            <a:rPr lang="en-US" sz="1100" b="0" i="0" u="none" strike="noStrike" baseline="0">
              <a:solidFill>
                <a:schemeClr val="dk1"/>
              </a:solidFill>
              <a:latin typeface="+mn-lt"/>
              <a:ea typeface="+mn-ea"/>
              <a:cs typeface="Arial" panose="020B0604020202020204" pitchFamily="34" charset="0"/>
            </a:rPr>
            <a:t>Dallas Lock Linux (</a:t>
          </a:r>
          <a:r>
            <a:rPr lang="ru-RU" sz="1100" b="0" i="0" u="none" strike="noStrike" baseline="0">
              <a:solidFill>
                <a:schemeClr val="dk1"/>
              </a:solidFill>
              <a:latin typeface="+mn-lt"/>
              <a:ea typeface="+mn-ea"/>
              <a:cs typeface="Arial" panose="020B0604020202020204" pitchFamily="34" charset="0"/>
            </a:rPr>
            <a:t>НСД, СКН, МЭ) </a:t>
          </a:r>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включены графическая пользовательская консоль (</a:t>
          </a:r>
          <a:r>
            <a:rPr lang="en-US" sz="1100" b="0" i="0" u="none" strike="noStrike" baseline="0">
              <a:solidFill>
                <a:schemeClr val="dk1"/>
              </a:solidFill>
              <a:latin typeface="+mn-lt"/>
              <a:ea typeface="+mn-ea"/>
              <a:cs typeface="Arial" panose="020B0604020202020204" pitchFamily="34" charset="0"/>
            </a:rPr>
            <a:t>GUI) </a:t>
          </a:r>
          <a:r>
            <a:rPr lang="ru-RU" sz="1100" b="0" i="0" u="none" strike="noStrike" baseline="0">
              <a:solidFill>
                <a:schemeClr val="dk1"/>
              </a:solidFill>
              <a:latin typeface="+mn-lt"/>
              <a:ea typeface="+mn-ea"/>
              <a:cs typeface="Arial" panose="020B0604020202020204" pitchFamily="34" charset="0"/>
            </a:rPr>
            <a:t>для управления СЗИ, а также консоль удаленного управления СЗИ из ОС </a:t>
          </a:r>
          <a:r>
            <a:rPr lang="en-US" sz="1100" b="0" i="0" u="none" strike="noStrike" baseline="0">
              <a:solidFill>
                <a:schemeClr val="dk1"/>
              </a:solidFill>
              <a:latin typeface="+mn-lt"/>
              <a:ea typeface="+mn-ea"/>
              <a:cs typeface="Arial" panose="020B0604020202020204" pitchFamily="34" charset="0"/>
            </a:rPr>
            <a:t>Linux </a:t>
          </a:r>
          <a:r>
            <a:rPr lang="ru-RU" sz="1100" b="0" i="0" u="none" strike="noStrike" baseline="0">
              <a:solidFill>
                <a:schemeClr val="dk1"/>
              </a:solidFill>
              <a:latin typeface="+mn-lt"/>
              <a:ea typeface="+mn-ea"/>
              <a:cs typeface="Arial" panose="020B0604020202020204" pitchFamily="34" charset="0"/>
            </a:rPr>
            <a:t>и </a:t>
          </a:r>
          <a:r>
            <a:rPr lang="en-US" sz="1100" b="0" i="0" u="none" strike="noStrike" baseline="0">
              <a:solidFill>
                <a:schemeClr val="dk1"/>
              </a:solidFill>
              <a:latin typeface="+mn-lt"/>
              <a:ea typeface="+mn-ea"/>
              <a:cs typeface="Arial" panose="020B0604020202020204" pitchFamily="34" charset="0"/>
            </a:rPr>
            <a:t>Windows.</a:t>
          </a:r>
        </a:p>
        <a:p>
          <a:pPr algn="just"/>
          <a:r>
            <a:rPr lang="en-US" sz="1100" b="0" i="0" u="none" strike="noStrike" baseline="0">
              <a:solidFill>
                <a:schemeClr val="dk1"/>
              </a:solidFill>
              <a:latin typeface="+mn-lt"/>
              <a:ea typeface="+mn-ea"/>
              <a:cs typeface="Arial" panose="020B0604020202020204" pitchFamily="34" charset="0"/>
            </a:rPr>
            <a:t>• </a:t>
          </a:r>
          <a:r>
            <a:rPr lang="ru-RU" sz="1100" b="0" i="0" u="none" strike="noStrike" baseline="0">
              <a:solidFill>
                <a:schemeClr val="dk1"/>
              </a:solidFill>
              <a:latin typeface="+mn-lt"/>
              <a:ea typeface="+mn-ea"/>
              <a:cs typeface="Arial" panose="020B0604020202020204" pitchFamily="34" charset="0"/>
            </a:rPr>
            <a:t>Сертифицированный комплект для установки СЗИ </a:t>
          </a:r>
          <a:r>
            <a:rPr lang="en-US" sz="1100" b="0" i="0" u="none" strike="noStrike" baseline="0">
              <a:solidFill>
                <a:schemeClr val="dk1"/>
              </a:solidFill>
              <a:latin typeface="+mn-lt"/>
              <a:ea typeface="+mn-ea"/>
              <a:cs typeface="Arial" panose="020B0604020202020204" pitchFamily="34" charset="0"/>
            </a:rPr>
            <a:t>Dallas Lock Linux </a:t>
          </a:r>
          <a:r>
            <a:rPr lang="ru-RU" sz="1100" b="0" i="0" u="none" strike="noStrike" baseline="0">
              <a:solidFill>
                <a:schemeClr val="dk1"/>
              </a:solidFill>
              <a:latin typeface="+mn-lt"/>
              <a:ea typeface="+mn-ea"/>
              <a:cs typeface="Arial" panose="020B0604020202020204" pitchFamily="34" charset="0"/>
            </a:rPr>
            <a:t>на необходимое количество рабочих мест приобретается отдельно.</a:t>
          </a:r>
          <a:endParaRPr lang="en-US" sz="1100" b="0" i="0" u="none" strike="noStrike" baseline="0">
            <a:solidFill>
              <a:schemeClr val="dk1"/>
            </a:solidFill>
            <a:latin typeface="+mn-lt"/>
            <a:ea typeface="+mn-ea"/>
            <a:cs typeface="Arial" panose="020B0604020202020204" pitchFamily="34" charset="0"/>
          </a:endParaRPr>
        </a:p>
        <a:p>
          <a:pPr algn="just"/>
          <a:endParaRPr lang="en-US" sz="1100" b="1" i="0" u="none" strike="noStrike" baseline="0">
            <a:solidFill>
              <a:srgbClr val="FF0000"/>
            </a:solidFill>
            <a:latin typeface="+mn-lt"/>
            <a:ea typeface="+mn-ea"/>
            <a:cs typeface="Arial" panose="020B0604020202020204" pitchFamily="34" charset="0"/>
          </a:endParaRPr>
        </a:p>
        <a:p>
          <a:pPr algn="just"/>
          <a:r>
            <a:rPr lang="en-US" sz="1100" b="1" i="0" u="none" strike="noStrike" baseline="0">
              <a:solidFill>
                <a:srgbClr val="FF0000"/>
              </a:solidFill>
              <a:latin typeface="+mn-lt"/>
              <a:ea typeface="+mn-ea"/>
              <a:cs typeface="Arial" panose="020B0604020202020204" pitchFamily="34" charset="0"/>
            </a:rPr>
            <a:t>Dallas Lock Linux/Dallas Lock 8.0-K. </a:t>
          </a:r>
          <a:r>
            <a:rPr lang="ru-RU" sz="1100" b="1" i="0" u="none" strike="noStrike" baseline="0">
              <a:solidFill>
                <a:srgbClr val="FF0000"/>
              </a:solidFill>
              <a:latin typeface="+mn-lt"/>
              <a:ea typeface="+mn-ea"/>
              <a:cs typeface="Arial" panose="020B0604020202020204" pitchFamily="34" charset="0"/>
            </a:rPr>
            <a:t>Право на использование (универсальная лицензия) </a:t>
          </a:r>
        </a:p>
        <a:p>
          <a:pPr eaLnBrk="1" fontAlgn="auto" latinLnBrk="0" hangingPunct="1"/>
          <a:r>
            <a:rPr lang="ru-RU" sz="1100" b="0" i="0" baseline="0">
              <a:solidFill>
                <a:schemeClr val="dk1"/>
              </a:solidFill>
              <a:effectLst/>
              <a:latin typeface="+mn-lt"/>
              <a:ea typeface="+mn-ea"/>
              <a:cs typeface="+mn-cs"/>
            </a:rPr>
            <a:t>Право на использование </a:t>
          </a:r>
          <a:r>
            <a:rPr lang="en-US" sz="1100" b="0" i="0" baseline="0">
              <a:solidFill>
                <a:schemeClr val="dk1"/>
              </a:solidFill>
              <a:effectLst/>
              <a:latin typeface="+mn-lt"/>
              <a:ea typeface="+mn-ea"/>
              <a:cs typeface="+mn-cs"/>
            </a:rPr>
            <a:t>Dallas Lock 8.0-K (</a:t>
          </a:r>
          <a:r>
            <a:rPr lang="ru-RU" sz="1100" b="0" i="0" baseline="0">
              <a:solidFill>
                <a:schemeClr val="dk1"/>
              </a:solidFill>
              <a:effectLst/>
              <a:latin typeface="+mn-lt"/>
              <a:ea typeface="+mn-ea"/>
              <a:cs typeface="+mn-cs"/>
            </a:rPr>
            <a:t>СЗИ НСД, СКН)/</a:t>
          </a:r>
          <a:r>
            <a:rPr lang="en-US" sz="1100" b="0" i="0" baseline="0">
              <a:solidFill>
                <a:schemeClr val="dk1"/>
              </a:solidFill>
              <a:effectLst/>
              <a:latin typeface="+mn-lt"/>
              <a:ea typeface="+mn-ea"/>
              <a:cs typeface="+mn-cs"/>
            </a:rPr>
            <a:t>Dallas Lock 8.0-K (</a:t>
          </a:r>
          <a:r>
            <a:rPr lang="ru-RU" sz="1100" b="0" i="0" baseline="0">
              <a:solidFill>
                <a:schemeClr val="dk1"/>
              </a:solidFill>
              <a:effectLst/>
              <a:latin typeface="+mn-lt"/>
              <a:ea typeface="+mn-ea"/>
              <a:cs typeface="+mn-cs"/>
            </a:rPr>
            <a:t>СЗИ НСД, СКН, МЭ)/</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8.0-К (СЗИ НСД, СКН, МЭ, СОВ) или </a:t>
          </a:r>
          <a:r>
            <a:rPr lang="en-US" sz="1100" b="0" i="0" baseline="0">
              <a:solidFill>
                <a:schemeClr val="dk1"/>
              </a:solidFill>
              <a:effectLst/>
              <a:latin typeface="+mn-lt"/>
              <a:ea typeface="+mn-ea"/>
              <a:cs typeface="+mn-cs"/>
            </a:rPr>
            <a:t>Dallas Lock Linux (</a:t>
          </a:r>
          <a:r>
            <a:rPr lang="ru-RU" sz="1100" b="0" i="0" baseline="0">
              <a:solidFill>
                <a:schemeClr val="dk1"/>
              </a:solidFill>
              <a:effectLst/>
              <a:latin typeface="+mn-lt"/>
              <a:ea typeface="+mn-ea"/>
              <a:cs typeface="+mn-cs"/>
            </a:rPr>
            <a:t>СЗИ НСД, СКН, МЭ)/</a:t>
          </a:r>
          <a:r>
            <a:rPr lang="en-US" sz="1100" b="0" i="0" baseline="0">
              <a:solidFill>
                <a:schemeClr val="dk1"/>
              </a:solidFill>
              <a:effectLst/>
              <a:latin typeface="+mn-lt"/>
              <a:ea typeface="+mn-ea"/>
              <a:cs typeface="+mn-cs"/>
            </a:rPr>
            <a:t>Dallas Lock Linux (</a:t>
          </a:r>
          <a:r>
            <a:rPr lang="ru-RU" sz="1100" b="0" i="0" baseline="0">
              <a:solidFill>
                <a:schemeClr val="dk1"/>
              </a:solidFill>
              <a:effectLst/>
              <a:latin typeface="+mn-lt"/>
              <a:ea typeface="+mn-ea"/>
              <a:cs typeface="+mn-cs"/>
            </a:rPr>
            <a:t>СЗИ НСД, СКН, МЭ)/</a:t>
          </a:r>
          <a:r>
            <a:rPr lang="en-US" sz="1100" b="0" i="0" baseline="0">
              <a:solidFill>
                <a:schemeClr val="dk1"/>
              </a:solidFill>
              <a:effectLst/>
              <a:latin typeface="+mn-lt"/>
              <a:ea typeface="+mn-ea"/>
              <a:cs typeface="+mn-cs"/>
            </a:rPr>
            <a:t>Dallas Lock Linux</a:t>
          </a:r>
          <a:r>
            <a:rPr lang="ru-RU" sz="1100" b="0" i="0" baseline="0">
              <a:solidFill>
                <a:schemeClr val="dk1"/>
              </a:solidFill>
              <a:effectLst/>
              <a:latin typeface="+mn-lt"/>
              <a:ea typeface="+mn-ea"/>
              <a:cs typeface="+mn-cs"/>
            </a:rPr>
            <a:t> (СЗИ НСД, СКН, МЭ, СОВ**) – по усмотрению пользователя. Рекомендуется использовать для рабочих мест, которые планируется перевести с одной ОС на другую в период эксплуатации СЗИ </a:t>
          </a:r>
          <a:r>
            <a:rPr lang="en-US" sz="1100" b="0" i="0" baseline="0">
              <a:solidFill>
                <a:schemeClr val="dk1"/>
              </a:solidFill>
              <a:effectLst/>
              <a:latin typeface="+mn-lt"/>
              <a:ea typeface="+mn-ea"/>
              <a:cs typeface="+mn-cs"/>
            </a:rPr>
            <a:t>Dallas Lock. C</a:t>
          </a:r>
          <a:r>
            <a:rPr lang="ru-RU" sz="1100" b="0" i="0" baseline="0">
              <a:solidFill>
                <a:schemeClr val="dk1"/>
              </a:solidFill>
              <a:effectLst/>
              <a:latin typeface="+mn-lt"/>
              <a:ea typeface="+mn-ea"/>
              <a:cs typeface="+mn-cs"/>
            </a:rPr>
            <a:t>ертифицированные комплекты для установки </a:t>
          </a:r>
          <a:r>
            <a:rPr lang="en-US" sz="1100" b="0" i="0" baseline="0">
              <a:solidFill>
                <a:schemeClr val="dk1"/>
              </a:solidFill>
              <a:effectLst/>
              <a:latin typeface="+mn-lt"/>
              <a:ea typeface="+mn-ea"/>
              <a:cs typeface="+mn-cs"/>
            </a:rPr>
            <a:t>Dallas Lock Linux (DLLNX.CERT.FSTEC) </a:t>
          </a:r>
          <a:r>
            <a:rPr lang="ru-RU" sz="1100" b="0" i="0" baseline="0">
              <a:solidFill>
                <a:schemeClr val="dk1"/>
              </a:solidFill>
              <a:effectLst/>
              <a:latin typeface="+mn-lt"/>
              <a:ea typeface="+mn-ea"/>
              <a:cs typeface="+mn-cs"/>
            </a:rPr>
            <a:t>и </a:t>
          </a:r>
          <a:r>
            <a:rPr lang="en-US" sz="1100" b="0" i="0" baseline="0">
              <a:solidFill>
                <a:schemeClr val="dk1"/>
              </a:solidFill>
              <a:effectLst/>
              <a:latin typeface="+mn-lt"/>
              <a:ea typeface="+mn-ea"/>
              <a:cs typeface="+mn-cs"/>
            </a:rPr>
            <a:t>Dallas Lock 8.0-K</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DL80K.CERT.FSTEC</a:t>
          </a:r>
          <a:r>
            <a:rPr lang="ru-RU" sz="1100" b="0" i="0" baseline="0">
              <a:solidFill>
                <a:schemeClr val="dk1"/>
              </a:solidFill>
              <a:effectLst/>
              <a:latin typeface="+mn-lt"/>
              <a:ea typeface="+mn-ea"/>
              <a:cs typeface="+mn-cs"/>
            </a:rPr>
            <a:t>) приобретаются отдельно</a:t>
          </a:r>
          <a:r>
            <a:rPr lang="en-US" sz="1100" b="0" i="0" baseline="0">
              <a:solidFill>
                <a:schemeClr val="dk1"/>
              </a:solidFill>
              <a:effectLst/>
              <a:latin typeface="+mn-lt"/>
              <a:ea typeface="+mn-ea"/>
              <a:cs typeface="+mn-cs"/>
            </a:rPr>
            <a:t>.</a:t>
          </a:r>
          <a:endParaRPr lang="ru-RU">
            <a:effectLst/>
          </a:endParaRPr>
        </a:p>
        <a:p>
          <a:pPr algn="just"/>
          <a:endParaRPr lang="en-US" sz="1100" b="0" i="0" u="none" strike="noStrike" baseline="0">
            <a:solidFill>
              <a:schemeClr val="dk1"/>
            </a:solidFill>
            <a:latin typeface="+mn-lt"/>
            <a:ea typeface="+mn-ea"/>
            <a:cs typeface="Arial" panose="020B0604020202020204" pitchFamily="34" charset="0"/>
          </a:endParaRPr>
        </a:p>
        <a:p>
          <a:r>
            <a:rPr lang="ru-RU" sz="1100" b="1">
              <a:solidFill>
                <a:schemeClr val="dk1"/>
              </a:solidFill>
              <a:effectLst/>
              <a:latin typeface="+mn-lt"/>
              <a:ea typeface="+mn-ea"/>
              <a:cs typeface="+mn-cs"/>
            </a:rPr>
            <a:t>Dallas Lock Linux. Сертифицированный комплект для установки</a:t>
          </a:r>
          <a:endParaRPr lang="ru-RU">
            <a:effectLst/>
          </a:endParaRPr>
        </a:p>
        <a:p>
          <a:r>
            <a:rPr lang="ru-RU" sz="1100">
              <a:solidFill>
                <a:schemeClr val="dk1"/>
              </a:solidFill>
              <a:effectLst/>
              <a:latin typeface="+mn-lt"/>
              <a:ea typeface="+mn-ea"/>
              <a:cs typeface="+mn-cs"/>
            </a:rPr>
            <a:t>Компакт-диск с ПО Dallas Lock Linuх и документацией в электронном виде;</a:t>
          </a:r>
          <a:r>
            <a:rPr lang="ru-RU" sz="1100" baseline="0">
              <a:solidFill>
                <a:schemeClr val="dk1"/>
              </a:solidFill>
              <a:effectLst/>
              <a:latin typeface="+mn-lt"/>
              <a:ea typeface="+mn-ea"/>
              <a:cs typeface="+mn-cs"/>
            </a:rPr>
            <a:t> </a:t>
          </a:r>
          <a:r>
            <a:rPr lang="ru-RU" sz="1100">
              <a:solidFill>
                <a:schemeClr val="dk1"/>
              </a:solidFill>
              <a:effectLst/>
              <a:latin typeface="+mn-lt"/>
              <a:ea typeface="+mn-ea"/>
              <a:cs typeface="+mn-cs"/>
            </a:rPr>
            <a:t>формуляр; копия сертификата ФСТЭК России; краткое руководство.</a:t>
          </a:r>
          <a:endParaRPr lang="ru-RU">
            <a:effectLst/>
          </a:endParaRPr>
        </a:p>
        <a:p>
          <a:endParaRPr lang="en-US" sz="1100" b="1">
            <a:solidFill>
              <a:schemeClr val="dk1"/>
            </a:solidFill>
            <a:effectLst/>
            <a:latin typeface="+mn-lt"/>
            <a:ea typeface="+mn-ea"/>
            <a:cs typeface="+mn-cs"/>
          </a:endParaRPr>
        </a:p>
        <a:p>
          <a:r>
            <a:rPr lang="ru-RU" sz="1100" b="1">
              <a:solidFill>
                <a:schemeClr val="dk1"/>
              </a:solidFill>
              <a:effectLst/>
              <a:latin typeface="+mn-lt"/>
              <a:ea typeface="+mn-ea"/>
              <a:cs typeface="+mn-cs"/>
            </a:rPr>
            <a:t>Техническая поддержка</a:t>
          </a:r>
          <a:endParaRPr lang="ru-R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pPr eaLnBrk="1" fontAlgn="auto" latinLnBrk="0" hangingPunct="1"/>
          <a:endParaRPr lang="ru-RU">
            <a:effectLst/>
          </a:endParaRPr>
        </a:p>
        <a:p>
          <a:pPr algn="just"/>
          <a:endParaRPr lang="en-US"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3</xdr:col>
      <xdr:colOff>8964</xdr:colOff>
      <xdr:row>26</xdr:row>
      <xdr:rowOff>8722</xdr:rowOff>
    </xdr:from>
    <xdr:to>
      <xdr:col>13</xdr:col>
      <xdr:colOff>33616</xdr:colOff>
      <xdr:row>34</xdr:row>
      <xdr:rowOff>340178</xdr:rowOff>
    </xdr:to>
    <xdr:sp macro="" textlink="">
      <xdr:nvSpPr>
        <xdr:cNvPr id="3" name="TextBox 2">
          <a:extLst>
            <a:ext uri="{FF2B5EF4-FFF2-40B4-BE49-F238E27FC236}">
              <a16:creationId xmlns:a16="http://schemas.microsoft.com/office/drawing/2014/main" xmlns="" id="{00000000-0008-0000-0300-000003000000}"/>
            </a:ext>
          </a:extLst>
        </xdr:cNvPr>
        <xdr:cNvSpPr txBox="1"/>
      </xdr:nvSpPr>
      <xdr:spPr>
        <a:xfrm>
          <a:off x="6875929" y="9923687"/>
          <a:ext cx="7940487" cy="4491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eaLnBrk="1" fontAlgn="auto" latinLnBrk="0" hangingPunct="1"/>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ru-RU" sz="1100" b="0" i="0" baseline="0">
              <a:solidFill>
                <a:schemeClr val="dk1"/>
              </a:solidFill>
              <a:effectLst/>
              <a:latin typeface="+mn-lt"/>
              <a:ea typeface="+mn-ea"/>
              <a:cs typeface="+mn-cs"/>
            </a:rPr>
            <a:t>.</a:t>
          </a:r>
          <a:endParaRPr lang="en-US" sz="1100" b="0" i="0" baseline="0">
            <a:solidFill>
              <a:schemeClr val="dk1"/>
            </a:solidFill>
            <a:effectLst/>
            <a:latin typeface="+mn-lt"/>
            <a:ea typeface="+mn-ea"/>
            <a:cs typeface="+mn-cs"/>
          </a:endParaRPr>
        </a:p>
        <a:p>
          <a:pPr algn="just"/>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endParaRPr lang="ru-RU">
            <a:effectLst/>
          </a:endParaRPr>
        </a:p>
        <a:p>
          <a:pPr algn="just">
            <a:lnSpc>
              <a:spcPct val="115000"/>
            </a:lnSpc>
            <a:spcAft>
              <a:spcPts val="0"/>
            </a:spcAft>
          </a:pPr>
          <a:endParaRPr lang="ru-RU" sz="1100">
            <a:effectLst/>
            <a:latin typeface="+mn-lt"/>
            <a:ea typeface="Calibri"/>
            <a:cs typeface="Times New Roman"/>
          </a:endParaRPr>
        </a:p>
      </xdr:txBody>
    </xdr:sp>
    <xdr:clientData/>
  </xdr:twoCellAnchor>
  <xdr:twoCellAnchor>
    <xdr:from>
      <xdr:col>1</xdr:col>
      <xdr:colOff>9525</xdr:colOff>
      <xdr:row>35</xdr:row>
      <xdr:rowOff>77160</xdr:rowOff>
    </xdr:from>
    <xdr:to>
      <xdr:col>12</xdr:col>
      <xdr:colOff>10584</xdr:colOff>
      <xdr:row>40</xdr:row>
      <xdr:rowOff>114201</xdr:rowOff>
    </xdr:to>
    <xdr:grpSp>
      <xdr:nvGrpSpPr>
        <xdr:cNvPr id="4" name="Группа 3">
          <a:extLst>
            <a:ext uri="{FF2B5EF4-FFF2-40B4-BE49-F238E27FC236}">
              <a16:creationId xmlns:a16="http://schemas.microsoft.com/office/drawing/2014/main" xmlns="" id="{00000000-0008-0000-0300-000004000000}"/>
            </a:ext>
          </a:extLst>
        </xdr:cNvPr>
        <xdr:cNvGrpSpPr/>
      </xdr:nvGrpSpPr>
      <xdr:grpSpPr>
        <a:xfrm>
          <a:off x="95250" y="14802810"/>
          <a:ext cx="14098059" cy="1989666"/>
          <a:chOff x="9525" y="13325475"/>
          <a:chExt cx="12985823" cy="1066800"/>
        </a:xfrm>
      </xdr:grpSpPr>
      <xdr:sp macro="" textlink="">
        <xdr:nvSpPr>
          <xdr:cNvPr id="5" name="TextBox 4">
            <a:extLst>
              <a:ext uri="{FF2B5EF4-FFF2-40B4-BE49-F238E27FC236}">
                <a16:creationId xmlns:a16="http://schemas.microsoft.com/office/drawing/2014/main" xmlns="" id="{00000000-0008-0000-0300-000005000000}"/>
              </a:ext>
            </a:extLst>
          </xdr:cNvPr>
          <xdr:cNvSpPr txBox="1"/>
        </xdr:nvSpPr>
        <xdr:spPr>
          <a:xfrm>
            <a:off x="9525" y="13363575"/>
            <a:ext cx="12985823"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Arial" panose="020B0604020202020204" pitchFamily="34" charset="0"/>
              </a:rPr>
              <a:t>* «x» – </a:t>
            </a:r>
            <a:r>
              <a:rPr lang="ru-RU" sz="1100" b="0" i="0" u="none" strike="noStrike" baseline="0">
                <a:solidFill>
                  <a:schemeClr val="dk1"/>
                </a:solidFill>
                <a:latin typeface="+mn-lt"/>
                <a:ea typeface="+mn-ea"/>
                <a:cs typeface="Arial" panose="020B0604020202020204" pitchFamily="34" charset="0"/>
              </a:rPr>
              <a:t>диапазон приобретаемых лицензий по количеству рабочих станций, серверов</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a:t>
            </a:r>
            <a:r>
              <a:rPr lang="ru-RU" sz="1100" b="0" i="0" baseline="0">
                <a:solidFill>
                  <a:schemeClr val="dk1"/>
                </a:solidFill>
                <a:effectLst/>
                <a:latin typeface="+mn-lt"/>
                <a:ea typeface="+mn-ea"/>
                <a:cs typeface="+mn-cs"/>
              </a:rPr>
              <a:t>Поддержка СОВ (система обнаружения вторжений уровня хоста) в </a:t>
            </a:r>
            <a:r>
              <a:rPr lang="en-US" sz="1100" b="0" i="0" baseline="0">
                <a:solidFill>
                  <a:schemeClr val="dk1"/>
                </a:solidFill>
                <a:effectLst/>
                <a:latin typeface="+mn-lt"/>
                <a:ea typeface="+mn-ea"/>
                <a:cs typeface="+mn-cs"/>
              </a:rPr>
              <a:t>Dallas Lock Linux </a:t>
            </a:r>
            <a:r>
              <a:rPr lang="ru-RU" sz="1100" b="0" i="0" baseline="0">
                <a:solidFill>
                  <a:schemeClr val="dk1"/>
                </a:solidFill>
                <a:effectLst/>
                <a:latin typeface="+mn-lt"/>
                <a:ea typeface="+mn-ea"/>
                <a:cs typeface="+mn-cs"/>
              </a:rPr>
              <a:t>реализована</a:t>
            </a:r>
            <a:r>
              <a:rPr lang="en-US" sz="1100" b="0" i="0" baseline="0">
                <a:solidFill>
                  <a:schemeClr val="dk1"/>
                </a:solidFill>
                <a:effectLst/>
                <a:latin typeface="+mn-lt"/>
                <a:ea typeface="+mn-ea"/>
                <a:cs typeface="+mn-cs"/>
              </a:rPr>
              <a:t>.</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используемое программное обеспечение не облагается НДС.</a:t>
            </a:r>
          </a:p>
          <a:p>
            <a:r>
              <a:rPr lang="ru-RU" sz="1100" b="0" i="0" u="none" strike="noStrike" baseline="0">
                <a:solidFill>
                  <a:schemeClr val="dk1"/>
                </a:solidFill>
                <a:latin typeface="+mn-lt"/>
                <a:ea typeface="+mn-ea"/>
                <a:cs typeface="Arial" panose="020B0604020202020204" pitchFamily="34" charset="0"/>
              </a:rPr>
              <a:t>**</a:t>
            </a:r>
            <a:r>
              <a:rPr lang="en-US" sz="1100" b="0" i="0" u="none" strike="noStrike" baseline="0">
                <a:solidFill>
                  <a:schemeClr val="dk1"/>
                </a:solidFill>
                <a:latin typeface="+mn-lt"/>
                <a:ea typeface="+mn-ea"/>
                <a:cs typeface="Arial" panose="020B0604020202020204" pitchFamily="34" charset="0"/>
              </a:rPr>
              <a:t>*</a:t>
            </a:r>
            <a:r>
              <a:rPr lang="ru-RU" sz="1100" b="0" i="0" u="none" strike="noStrike" baseline="0">
                <a:solidFill>
                  <a:schemeClr val="dk1"/>
                </a:solidFill>
                <a:latin typeface="+mn-lt"/>
                <a:ea typeface="+mn-ea"/>
                <a:cs typeface="Arial" panose="020B0604020202020204" pitchFamily="34" charset="0"/>
              </a:rPr>
              <a:t>* В стоимость входит НДС 20%.</a:t>
            </a:r>
          </a:p>
        </xdr:txBody>
      </xdr:sp>
      <xdr:cxnSp macro="">
        <xdr:nvCxnSpPr>
          <xdr:cNvPr id="6" name="Прямая соединительная линия 5">
            <a:extLst>
              <a:ext uri="{FF2B5EF4-FFF2-40B4-BE49-F238E27FC236}">
                <a16:creationId xmlns:a16="http://schemas.microsoft.com/office/drawing/2014/main" xmlns="" id="{00000000-0008-0000-0300-000006000000}"/>
              </a:ext>
            </a:extLst>
          </xdr:cNvPr>
          <xdr:cNvCxnSpPr/>
        </xdr:nvCxnSpPr>
        <xdr:spPr>
          <a:xfrm>
            <a:off x="76200" y="13325475"/>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xdr:col>
          <xdr:colOff>3762375</xdr:colOff>
          <xdr:row>5</xdr:row>
          <xdr:rowOff>95250</xdr:rowOff>
        </xdr:from>
        <xdr:to>
          <xdr:col>2</xdr:col>
          <xdr:colOff>4010025</xdr:colOff>
          <xdr:row>7</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xmlns="" id="{00000000-0008-0000-03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549088</xdr:colOff>
      <xdr:row>2</xdr:row>
      <xdr:rowOff>123264</xdr:rowOff>
    </xdr:from>
    <xdr:to>
      <xdr:col>3</xdr:col>
      <xdr:colOff>734847</xdr:colOff>
      <xdr:row>2</xdr:row>
      <xdr:rowOff>309023</xdr:rowOff>
    </xdr:to>
    <xdr:pic>
      <xdr:nvPicPr>
        <xdr:cNvPr id="8" name="Рисунок 7">
          <a:extLst>
            <a:ext uri="{FF2B5EF4-FFF2-40B4-BE49-F238E27FC236}">
              <a16:creationId xmlns:a16="http://schemas.microsoft.com/office/drawing/2014/main" xmlns="" id="{00000000-0008-0000-0300-000008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7216588" y="1613646"/>
          <a:ext cx="185759" cy="185759"/>
        </a:xfrm>
        <a:prstGeom prst="rect">
          <a:avLst/>
        </a:prstGeom>
      </xdr:spPr>
    </xdr:pic>
    <xdr:clientData/>
  </xdr:twoCellAnchor>
  <xdr:twoCellAnchor>
    <xdr:from>
      <xdr:col>0</xdr:col>
      <xdr:colOff>0</xdr:colOff>
      <xdr:row>2</xdr:row>
      <xdr:rowOff>0</xdr:rowOff>
    </xdr:from>
    <xdr:to>
      <xdr:col>13</xdr:col>
      <xdr:colOff>-1</xdr:colOff>
      <xdr:row>3</xdr:row>
      <xdr:rowOff>22412</xdr:rowOff>
    </xdr:to>
    <xdr:sp macro="" textlink="">
      <xdr:nvSpPr>
        <xdr:cNvPr id="9" name="Прямоугольник 8">
          <a:hlinkClick xmlns:r="http://schemas.openxmlformats.org/officeDocument/2006/relationships" r:id="rId2"/>
          <a:extLst>
            <a:ext uri="{FF2B5EF4-FFF2-40B4-BE49-F238E27FC236}">
              <a16:creationId xmlns:a16="http://schemas.microsoft.com/office/drawing/2014/main" xmlns="" id="{00000000-0008-0000-0300-000009000000}"/>
            </a:ext>
          </a:extLst>
        </xdr:cNvPr>
        <xdr:cNvSpPr/>
      </xdr:nvSpPr>
      <xdr:spPr>
        <a:xfrm>
          <a:off x="0" y="1490382"/>
          <a:ext cx="14421970" cy="39220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0</xdr:colOff>
      <xdr:row>0</xdr:row>
      <xdr:rowOff>0</xdr:rowOff>
    </xdr:from>
    <xdr:to>
      <xdr:col>13</xdr:col>
      <xdr:colOff>70791</xdr:colOff>
      <xdr:row>2</xdr:row>
      <xdr:rowOff>18892</xdr:rowOff>
    </xdr:to>
    <xdr:pic>
      <xdr:nvPicPr>
        <xdr:cNvPr id="10" name="Рисунок 9">
          <a:hlinkClick xmlns:r="http://schemas.openxmlformats.org/officeDocument/2006/relationships" r:id="rId3"/>
          <a:extLst>
            <a:ext uri="{FF2B5EF4-FFF2-40B4-BE49-F238E27FC236}">
              <a16:creationId xmlns:a16="http://schemas.microsoft.com/office/drawing/2014/main" xmlns="" id="{00000000-0008-0000-0300-00000A000000}"/>
            </a:ext>
          </a:extLst>
        </xdr:cNvPr>
        <xdr:cNvPicPr>
          <a:picLocks noChangeAspect="1"/>
        </xdr:cNvPicPr>
      </xdr:nvPicPr>
      <xdr:blipFill>
        <a:blip xmlns:r="http://schemas.openxmlformats.org/officeDocument/2006/relationships" r:embed="rId4"/>
        <a:stretch>
          <a:fillRect/>
        </a:stretch>
      </xdr:blipFill>
      <xdr:spPr>
        <a:xfrm>
          <a:off x="0" y="0"/>
          <a:ext cx="14374974" cy="15156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447675</xdr:colOff>
          <xdr:row>5</xdr:row>
          <xdr:rowOff>95250</xdr:rowOff>
        </xdr:from>
        <xdr:to>
          <xdr:col>9</xdr:col>
          <xdr:colOff>704850</xdr:colOff>
          <xdr:row>7</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xmlns="" id="{00000000-0008-0000-03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24</xdr:row>
      <xdr:rowOff>99732</xdr:rowOff>
    </xdr:from>
    <xdr:to>
      <xdr:col>13</xdr:col>
      <xdr:colOff>28575</xdr:colOff>
      <xdr:row>24</xdr:row>
      <xdr:rowOff>641346</xdr:rowOff>
    </xdr:to>
    <xdr:pic>
      <xdr:nvPicPr>
        <xdr:cNvPr id="12" name="Рисунок 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 y="9186582"/>
          <a:ext cx="14354174" cy="5416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3743325</xdr:colOff>
          <xdr:row>20</xdr:row>
          <xdr:rowOff>104775</xdr:rowOff>
        </xdr:from>
        <xdr:to>
          <xdr:col>2</xdr:col>
          <xdr:colOff>3914775</xdr:colOff>
          <xdr:row>21</xdr:row>
          <xdr:rowOff>180975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xmlns="" id="{00000000-0008-0000-03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20</xdr:row>
          <xdr:rowOff>104775</xdr:rowOff>
        </xdr:from>
        <xdr:to>
          <xdr:col>9</xdr:col>
          <xdr:colOff>704850</xdr:colOff>
          <xdr:row>21</xdr:row>
          <xdr:rowOff>180975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xmlns="" id="{00000000-0008-0000-03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22</xdr:row>
      <xdr:rowOff>518583</xdr:rowOff>
    </xdr:from>
    <xdr:to>
      <xdr:col>3</xdr:col>
      <xdr:colOff>179915</xdr:colOff>
      <xdr:row>24</xdr:row>
      <xdr:rowOff>52915</xdr:rowOff>
    </xdr:to>
    <xdr:sp macro="" textlink="">
      <xdr:nvSpPr>
        <xdr:cNvPr id="15" name="Прямоугольник 14">
          <a:hlinkClick xmlns:r="http://schemas.openxmlformats.org/officeDocument/2006/relationships" r:id="rId6"/>
          <a:extLst>
            <a:ext uri="{FF2B5EF4-FFF2-40B4-BE49-F238E27FC236}">
              <a16:creationId xmlns:a16="http://schemas.microsoft.com/office/drawing/2014/main" xmlns="" id="{00000000-0008-0000-0300-00000F000000}"/>
            </a:ext>
          </a:extLst>
        </xdr:cNvPr>
        <xdr:cNvSpPr/>
      </xdr:nvSpPr>
      <xdr:spPr>
        <a:xfrm>
          <a:off x="0" y="8527203"/>
          <a:ext cx="6809315" cy="2658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mn-lt"/>
              <a:cs typeface="Arial" panose="020B0604020202020204" pitchFamily="34" charset="0"/>
            </a:rPr>
            <a:t>*</a:t>
          </a:r>
          <a:r>
            <a:rPr lang="ru-RU" sz="1100" b="1">
              <a:latin typeface="+mn-lt"/>
              <a:cs typeface="Arial" panose="020B0604020202020204" pitchFamily="34" charset="0"/>
            </a:rPr>
            <a:t>БОЛЕЕ ПОЛНЫЙ СПИСОК ВАРИАНТОВ ЕЦУ ВО ВКЛАДКЕ ЕЦУ</a:t>
          </a:r>
          <a:r>
            <a:rPr lang="ru-RU" sz="1100" b="1" baseline="0">
              <a:latin typeface="+mn-lt"/>
              <a:cs typeface="Arial" panose="020B0604020202020204" pitchFamily="34" charset="0"/>
            </a:rPr>
            <a:t> </a:t>
          </a:r>
          <a:r>
            <a:rPr lang="en-US" sz="1100" b="1" baseline="0">
              <a:latin typeface="+mn-lt"/>
              <a:cs typeface="Arial" panose="020B0604020202020204" pitchFamily="34" charset="0"/>
            </a:rPr>
            <a:t>DALLAS LOCK      </a:t>
          </a:r>
          <a:r>
            <a:rPr lang="en-US" sz="1100" b="1">
              <a:latin typeface="+mn-lt"/>
              <a:cs typeface="Arial" panose="020B0604020202020204" pitchFamily="34" charset="0"/>
            </a:rPr>
            <a:t>&gt;&gt;</a:t>
          </a:r>
          <a:endParaRPr lang="ru-RU" sz="1100" b="1">
            <a:latin typeface="+mn-lt"/>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12</xdr:row>
          <xdr:rowOff>47625</xdr:rowOff>
        </xdr:from>
        <xdr:to>
          <xdr:col>1</xdr:col>
          <xdr:colOff>276225</xdr:colOff>
          <xdr:row>12</xdr:row>
          <xdr:rowOff>428625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xmlns="" id="{00000000-0008-0000-03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47625</xdr:rowOff>
        </xdr:from>
        <xdr:to>
          <xdr:col>1</xdr:col>
          <xdr:colOff>276225</xdr:colOff>
          <xdr:row>13</xdr:row>
          <xdr:rowOff>428625</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xmlns="" id="{00000000-0008-0000-03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210847</xdr:colOff>
      <xdr:row>8</xdr:row>
      <xdr:rowOff>0</xdr:rowOff>
    </xdr:from>
    <xdr:to>
      <xdr:col>1</xdr:col>
      <xdr:colOff>210847</xdr:colOff>
      <xdr:row>9</xdr:row>
      <xdr:rowOff>509640</xdr:rowOff>
    </xdr:to>
    <xdr:cxnSp macro="">
      <xdr:nvCxnSpPr>
        <xdr:cNvPr id="29" name="Прямая соединительная линия 28">
          <a:extLst>
            <a:ext uri="{FF2B5EF4-FFF2-40B4-BE49-F238E27FC236}">
              <a16:creationId xmlns:a16="http://schemas.microsoft.com/office/drawing/2014/main" xmlns="" id="{00000000-0008-0000-0300-00001D000000}"/>
            </a:ext>
          </a:extLst>
        </xdr:cNvPr>
        <xdr:cNvCxnSpPr/>
      </xdr:nvCxnSpPr>
      <xdr:spPr>
        <a:xfrm>
          <a:off x="302957" y="3081495"/>
          <a:ext cx="0" cy="1028804"/>
        </a:xfrm>
        <a:prstGeom prst="line">
          <a:avLst/>
        </a:prstGeom>
        <a:ln w="190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95250</xdr:colOff>
          <xdr:row>8</xdr:row>
          <xdr:rowOff>38100</xdr:rowOff>
        </xdr:from>
        <xdr:to>
          <xdr:col>1</xdr:col>
          <xdr:colOff>285750</xdr:colOff>
          <xdr:row>8</xdr:row>
          <xdr:rowOff>419100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xmlns="" id="{00000000-0008-0000-03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xdr:row>
          <xdr:rowOff>38100</xdr:rowOff>
        </xdr:from>
        <xdr:to>
          <xdr:col>1</xdr:col>
          <xdr:colOff>285750</xdr:colOff>
          <xdr:row>9</xdr:row>
          <xdr:rowOff>419100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xmlns="" id="{00000000-0008-0000-03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18</xdr:row>
      <xdr:rowOff>8724</xdr:rowOff>
    </xdr:from>
    <xdr:to>
      <xdr:col>3</xdr:col>
      <xdr:colOff>11205</xdr:colOff>
      <xdr:row>27</xdr:row>
      <xdr:rowOff>33617</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0" y="10019499"/>
          <a:ext cx="6678705" cy="4739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100" b="1">
              <a:solidFill>
                <a:schemeClr val="dk1"/>
              </a:solidFill>
              <a:effectLst/>
              <a:latin typeface="+mn-lt"/>
              <a:ea typeface="+mn-ea"/>
              <a:cs typeface="+mn-cs"/>
            </a:rPr>
            <a:t>Dallas Lock Linux. Модули.</a:t>
          </a:r>
          <a:endParaRPr lang="ru-R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ru-RU" sz="1100">
              <a:solidFill>
                <a:schemeClr val="dk1"/>
              </a:solidFill>
              <a:effectLst/>
              <a:latin typeface="+mn-lt"/>
              <a:ea typeface="+mn-ea"/>
              <a:cs typeface="+mn-cs"/>
            </a:rPr>
            <a:t>Комплект отдельных модулей</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ru-RU" sz="1100" baseline="0">
              <a:solidFill>
                <a:schemeClr val="dk1"/>
              </a:solidFill>
              <a:effectLst/>
              <a:latin typeface="+mn-lt"/>
              <a:ea typeface="+mn-ea"/>
              <a:cs typeface="+mn-cs"/>
            </a:rPr>
            <a:t>Поставляется исключительно в рамках технолического сотрудничества для </a:t>
          </a:r>
          <a:r>
            <a:rPr lang="ru-RU" sz="1100" b="0" i="0" baseline="0">
              <a:solidFill>
                <a:schemeClr val="dk1"/>
              </a:solidFill>
              <a:effectLst/>
              <a:latin typeface="+mn-lt"/>
              <a:ea typeface="+mn-ea"/>
              <a:cs typeface="+mn-cs"/>
            </a:rPr>
            <a:t>ОС </a:t>
          </a:r>
          <a:r>
            <a:rPr lang="en-US" sz="1100" b="0" i="0" baseline="0">
              <a:solidFill>
                <a:schemeClr val="dk1"/>
              </a:solidFill>
              <a:effectLst/>
              <a:latin typeface="+mn-lt"/>
              <a:ea typeface="+mn-ea"/>
              <a:cs typeface="+mn-cs"/>
            </a:rPr>
            <a:t>Linux</a:t>
          </a:r>
          <a:r>
            <a:rPr lang="ru-RU" sz="1100" b="0" i="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ru-RU" sz="1100" b="1">
            <a:solidFill>
              <a:schemeClr val="dk1"/>
            </a:solidFill>
            <a:effectLst/>
            <a:latin typeface="+mn-lt"/>
            <a:ea typeface="+mn-ea"/>
            <a:cs typeface="+mn-cs"/>
          </a:endParaRPr>
        </a:p>
        <a:p>
          <a:r>
            <a:rPr lang="ru-RU" sz="1100" b="1">
              <a:solidFill>
                <a:schemeClr val="dk1"/>
              </a:solidFill>
              <a:effectLst/>
              <a:latin typeface="+mn-lt"/>
              <a:ea typeface="+mn-ea"/>
              <a:cs typeface="+mn-cs"/>
            </a:rPr>
            <a:t>Dallas Lock Linux. Сертифицированный комплект для установки</a:t>
          </a:r>
          <a:endParaRPr lang="ru-RU">
            <a:effectLst/>
          </a:endParaRPr>
        </a:p>
        <a:p>
          <a:r>
            <a:rPr lang="ru-RU" sz="1100">
              <a:solidFill>
                <a:schemeClr val="dk1"/>
              </a:solidFill>
              <a:effectLst/>
              <a:latin typeface="+mn-lt"/>
              <a:ea typeface="+mn-ea"/>
              <a:cs typeface="+mn-cs"/>
            </a:rPr>
            <a:t>Компакт-диск с ПО Dallas Lock Linuх и документацией в электронном виде;</a:t>
          </a:r>
          <a:r>
            <a:rPr lang="ru-RU" sz="1100" baseline="0">
              <a:solidFill>
                <a:schemeClr val="dk1"/>
              </a:solidFill>
              <a:effectLst/>
              <a:latin typeface="+mn-lt"/>
              <a:ea typeface="+mn-ea"/>
              <a:cs typeface="+mn-cs"/>
            </a:rPr>
            <a:t> </a:t>
          </a:r>
          <a:r>
            <a:rPr lang="ru-RU" sz="1100">
              <a:solidFill>
                <a:schemeClr val="dk1"/>
              </a:solidFill>
              <a:effectLst/>
              <a:latin typeface="+mn-lt"/>
              <a:ea typeface="+mn-ea"/>
              <a:cs typeface="+mn-cs"/>
            </a:rPr>
            <a:t>формуляр; копия сертификата ФСТЭК России; краткое руководство.</a:t>
          </a:r>
          <a:endParaRPr lang="ru-RU">
            <a:effectLst/>
          </a:endParaRPr>
        </a:p>
        <a:p>
          <a:endParaRPr lang="en-US" sz="1100" b="1">
            <a:solidFill>
              <a:schemeClr val="dk1"/>
            </a:solidFill>
            <a:effectLst/>
            <a:latin typeface="+mn-lt"/>
            <a:ea typeface="+mn-ea"/>
            <a:cs typeface="+mn-cs"/>
          </a:endParaRPr>
        </a:p>
        <a:p>
          <a:r>
            <a:rPr lang="ru-RU" sz="1100" b="1">
              <a:solidFill>
                <a:schemeClr val="dk1"/>
              </a:solidFill>
              <a:effectLst/>
              <a:latin typeface="+mn-lt"/>
              <a:ea typeface="+mn-ea"/>
              <a:cs typeface="+mn-cs"/>
            </a:rPr>
            <a:t>Техническая поддержка</a:t>
          </a:r>
          <a:endParaRPr lang="ru-R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pPr eaLnBrk="1" fontAlgn="auto" latinLnBrk="0" hangingPunct="1"/>
          <a:endParaRPr lang="ru-RU">
            <a:effectLst/>
          </a:endParaRPr>
        </a:p>
        <a:p>
          <a:pPr algn="just"/>
          <a:endParaRPr lang="en-US"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3</xdr:col>
      <xdr:colOff>8964</xdr:colOff>
      <xdr:row>18</xdr:row>
      <xdr:rowOff>8722</xdr:rowOff>
    </xdr:from>
    <xdr:to>
      <xdr:col>13</xdr:col>
      <xdr:colOff>33616</xdr:colOff>
      <xdr:row>26</xdr:row>
      <xdr:rowOff>340178</xdr:rowOff>
    </xdr:to>
    <xdr:sp macro="" textlink="">
      <xdr:nvSpPr>
        <xdr:cNvPr id="4" name="TextBox 3">
          <a:extLst>
            <a:ext uri="{FF2B5EF4-FFF2-40B4-BE49-F238E27FC236}">
              <a16:creationId xmlns:a16="http://schemas.microsoft.com/office/drawing/2014/main" xmlns="" id="{00000000-0008-0000-0400-000004000000}"/>
            </a:ext>
          </a:extLst>
        </xdr:cNvPr>
        <xdr:cNvSpPr txBox="1"/>
      </xdr:nvSpPr>
      <xdr:spPr>
        <a:xfrm>
          <a:off x="6676464" y="10019497"/>
          <a:ext cx="8054227" cy="45224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eaLnBrk="1" fontAlgn="auto" latinLnBrk="0" hangingPunct="1"/>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ru-RU" sz="1100" b="0" i="0" baseline="0">
              <a:solidFill>
                <a:schemeClr val="dk1"/>
              </a:solidFill>
              <a:effectLst/>
              <a:latin typeface="+mn-lt"/>
              <a:ea typeface="+mn-ea"/>
              <a:cs typeface="+mn-cs"/>
            </a:rPr>
            <a:t>.</a:t>
          </a:r>
          <a:endParaRPr lang="en-US" sz="1100" b="0" i="0" baseline="0">
            <a:solidFill>
              <a:schemeClr val="dk1"/>
            </a:solidFill>
            <a:effectLst/>
            <a:latin typeface="+mn-lt"/>
            <a:ea typeface="+mn-ea"/>
            <a:cs typeface="+mn-cs"/>
          </a:endParaRPr>
        </a:p>
        <a:p>
          <a:pPr algn="just"/>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endParaRPr lang="ru-RU">
            <a:effectLst/>
          </a:endParaRPr>
        </a:p>
        <a:p>
          <a:pPr algn="just">
            <a:lnSpc>
              <a:spcPct val="115000"/>
            </a:lnSpc>
            <a:spcAft>
              <a:spcPts val="0"/>
            </a:spcAft>
          </a:pPr>
          <a:endParaRPr lang="ru-RU" sz="1100">
            <a:effectLst/>
            <a:latin typeface="+mn-lt"/>
            <a:ea typeface="Calibri"/>
            <a:cs typeface="Times New Roman"/>
          </a:endParaRPr>
        </a:p>
      </xdr:txBody>
    </xdr:sp>
    <xdr:clientData/>
  </xdr:twoCellAnchor>
  <xdr:twoCellAnchor>
    <xdr:from>
      <xdr:col>1</xdr:col>
      <xdr:colOff>9525</xdr:colOff>
      <xdr:row>27</xdr:row>
      <xdr:rowOff>77160</xdr:rowOff>
    </xdr:from>
    <xdr:to>
      <xdr:col>12</xdr:col>
      <xdr:colOff>10584</xdr:colOff>
      <xdr:row>32</xdr:row>
      <xdr:rowOff>114201</xdr:rowOff>
    </xdr:to>
    <xdr:grpSp>
      <xdr:nvGrpSpPr>
        <xdr:cNvPr id="5" name="Группа 4">
          <a:extLst>
            <a:ext uri="{FF2B5EF4-FFF2-40B4-BE49-F238E27FC236}">
              <a16:creationId xmlns:a16="http://schemas.microsoft.com/office/drawing/2014/main" xmlns="" id="{00000000-0008-0000-0400-000005000000}"/>
            </a:ext>
          </a:extLst>
        </xdr:cNvPr>
        <xdr:cNvGrpSpPr/>
      </xdr:nvGrpSpPr>
      <xdr:grpSpPr>
        <a:xfrm>
          <a:off x="95250" y="12421560"/>
          <a:ext cx="14212359" cy="1989666"/>
          <a:chOff x="9525" y="13325475"/>
          <a:chExt cx="12985823" cy="1066800"/>
        </a:xfrm>
      </xdr:grpSpPr>
      <xdr:sp macro="" textlink="">
        <xdr:nvSpPr>
          <xdr:cNvPr id="6" name="TextBox 5">
            <a:extLst>
              <a:ext uri="{FF2B5EF4-FFF2-40B4-BE49-F238E27FC236}">
                <a16:creationId xmlns:a16="http://schemas.microsoft.com/office/drawing/2014/main" xmlns="" id="{00000000-0008-0000-0400-000006000000}"/>
              </a:ext>
            </a:extLst>
          </xdr:cNvPr>
          <xdr:cNvSpPr txBox="1"/>
        </xdr:nvSpPr>
        <xdr:spPr>
          <a:xfrm>
            <a:off x="9525" y="13363575"/>
            <a:ext cx="12985823"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Arial" panose="020B0604020202020204" pitchFamily="34" charset="0"/>
              </a:rPr>
              <a:t>* «x» – </a:t>
            </a:r>
            <a:r>
              <a:rPr lang="ru-RU" sz="1100" b="0" i="0" u="none" strike="noStrike" baseline="0">
                <a:solidFill>
                  <a:schemeClr val="dk1"/>
                </a:solidFill>
                <a:latin typeface="+mn-lt"/>
                <a:ea typeface="+mn-ea"/>
                <a:cs typeface="Arial" panose="020B0604020202020204" pitchFamily="34" charset="0"/>
              </a:rPr>
              <a:t>диапазон приобретаемых лицензий по количеству рабочих станций, серверов</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a:t>
            </a:r>
            <a:r>
              <a:rPr lang="ru-RU" sz="1100" b="0" i="0" baseline="0">
                <a:solidFill>
                  <a:schemeClr val="dk1"/>
                </a:solidFill>
                <a:effectLst/>
                <a:latin typeface="+mn-lt"/>
                <a:ea typeface="+mn-ea"/>
                <a:cs typeface="+mn-cs"/>
              </a:rPr>
              <a:t>Поддержка СОВ (система обнаружения вторжений уровня хоста) в </a:t>
            </a:r>
            <a:r>
              <a:rPr lang="en-US" sz="1100" b="0" i="0" baseline="0">
                <a:solidFill>
                  <a:schemeClr val="dk1"/>
                </a:solidFill>
                <a:effectLst/>
                <a:latin typeface="+mn-lt"/>
                <a:ea typeface="+mn-ea"/>
                <a:cs typeface="+mn-cs"/>
              </a:rPr>
              <a:t>Dallas Lock Linux </a:t>
            </a:r>
            <a:r>
              <a:rPr lang="ru-RU" sz="1100" b="0" i="0" baseline="0">
                <a:solidFill>
                  <a:schemeClr val="dk1"/>
                </a:solidFill>
                <a:effectLst/>
                <a:latin typeface="+mn-lt"/>
                <a:ea typeface="+mn-ea"/>
                <a:cs typeface="+mn-cs"/>
              </a:rPr>
              <a:t>реализована</a:t>
            </a:r>
            <a:r>
              <a:rPr lang="en-US" sz="1100" b="0" i="0" baseline="0">
                <a:solidFill>
                  <a:schemeClr val="dk1"/>
                </a:solidFill>
                <a:effectLst/>
                <a:latin typeface="+mn-lt"/>
                <a:ea typeface="+mn-ea"/>
                <a:cs typeface="+mn-cs"/>
              </a:rPr>
              <a:t>.</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используемое программное обеспечение не облагается НДС.</a:t>
            </a:r>
          </a:p>
          <a:p>
            <a:r>
              <a:rPr lang="ru-RU" sz="1100" b="0" i="0" u="none" strike="noStrike" baseline="0">
                <a:solidFill>
                  <a:schemeClr val="dk1"/>
                </a:solidFill>
                <a:latin typeface="+mn-lt"/>
                <a:ea typeface="+mn-ea"/>
                <a:cs typeface="Arial" panose="020B0604020202020204" pitchFamily="34" charset="0"/>
              </a:rPr>
              <a:t>**</a:t>
            </a:r>
            <a:r>
              <a:rPr lang="en-US" sz="1100" b="0" i="0" u="none" strike="noStrike" baseline="0">
                <a:solidFill>
                  <a:schemeClr val="dk1"/>
                </a:solidFill>
                <a:latin typeface="+mn-lt"/>
                <a:ea typeface="+mn-ea"/>
                <a:cs typeface="Arial" panose="020B0604020202020204" pitchFamily="34" charset="0"/>
              </a:rPr>
              <a:t>*</a:t>
            </a:r>
            <a:r>
              <a:rPr lang="ru-RU" sz="1100" b="0" i="0" u="none" strike="noStrike" baseline="0">
                <a:solidFill>
                  <a:schemeClr val="dk1"/>
                </a:solidFill>
                <a:latin typeface="+mn-lt"/>
                <a:ea typeface="+mn-ea"/>
                <a:cs typeface="Arial" panose="020B0604020202020204" pitchFamily="34" charset="0"/>
              </a:rPr>
              <a:t>* В стоимость входит НДС 20%.</a:t>
            </a:r>
          </a:p>
        </xdr:txBody>
      </xdr:sp>
      <xdr:cxnSp macro="">
        <xdr:nvCxnSpPr>
          <xdr:cNvPr id="7" name="Прямая соединительная линия 6">
            <a:extLst>
              <a:ext uri="{FF2B5EF4-FFF2-40B4-BE49-F238E27FC236}">
                <a16:creationId xmlns:a16="http://schemas.microsoft.com/office/drawing/2014/main" xmlns="" id="{00000000-0008-0000-0400-000007000000}"/>
              </a:ext>
            </a:extLst>
          </xdr:cNvPr>
          <xdr:cNvCxnSpPr/>
        </xdr:nvCxnSpPr>
        <xdr:spPr>
          <a:xfrm>
            <a:off x="76200" y="13325475"/>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xdr:col>
          <xdr:colOff>3762375</xdr:colOff>
          <xdr:row>7</xdr:row>
          <xdr:rowOff>95250</xdr:rowOff>
        </xdr:from>
        <xdr:to>
          <xdr:col>2</xdr:col>
          <xdr:colOff>4010025</xdr:colOff>
          <xdr:row>9</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xmlns="" id="{00000000-0008-0000-0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2</xdr:row>
      <xdr:rowOff>0</xdr:rowOff>
    </xdr:from>
    <xdr:to>
      <xdr:col>12</xdr:col>
      <xdr:colOff>99366</xdr:colOff>
      <xdr:row>4</xdr:row>
      <xdr:rowOff>18892</xdr:rowOff>
    </xdr:to>
    <xdr:pic>
      <xdr:nvPicPr>
        <xdr:cNvPr id="11" name="Рисунок 10">
          <a:hlinkClick xmlns:r="http://schemas.openxmlformats.org/officeDocument/2006/relationships" r:id="rId1"/>
          <a:extLst>
            <a:ext uri="{FF2B5EF4-FFF2-40B4-BE49-F238E27FC236}">
              <a16:creationId xmlns:a16="http://schemas.microsoft.com/office/drawing/2014/main" xmlns="" id="{00000000-0008-0000-0400-00000B000000}"/>
            </a:ext>
          </a:extLst>
        </xdr:cNvPr>
        <xdr:cNvPicPr>
          <a:picLocks noChangeAspect="1"/>
        </xdr:cNvPicPr>
      </xdr:nvPicPr>
      <xdr:blipFill>
        <a:blip xmlns:r="http://schemas.openxmlformats.org/officeDocument/2006/relationships" r:embed="rId2"/>
        <a:stretch>
          <a:fillRect/>
        </a:stretch>
      </xdr:blipFill>
      <xdr:spPr>
        <a:xfrm>
          <a:off x="0" y="0"/>
          <a:ext cx="14396391" cy="15143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447675</xdr:colOff>
          <xdr:row>7</xdr:row>
          <xdr:rowOff>95250</xdr:rowOff>
        </xdr:from>
        <xdr:to>
          <xdr:col>9</xdr:col>
          <xdr:colOff>704850</xdr:colOff>
          <xdr:row>9</xdr:row>
          <xdr:rowOff>19050</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xmlns="" id="{00000000-0008-0000-0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3743325</xdr:colOff>
          <xdr:row>12</xdr:row>
          <xdr:rowOff>104775</xdr:rowOff>
        </xdr:from>
        <xdr:to>
          <xdr:col>2</xdr:col>
          <xdr:colOff>3914775</xdr:colOff>
          <xdr:row>13</xdr:row>
          <xdr:rowOff>180975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xmlns="" id="{00000000-0008-0000-0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12</xdr:row>
          <xdr:rowOff>104775</xdr:rowOff>
        </xdr:from>
        <xdr:to>
          <xdr:col>9</xdr:col>
          <xdr:colOff>704850</xdr:colOff>
          <xdr:row>13</xdr:row>
          <xdr:rowOff>180975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xmlns="" id="{00000000-0008-0000-0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14</xdr:row>
      <xdr:rowOff>518583</xdr:rowOff>
    </xdr:from>
    <xdr:to>
      <xdr:col>3</xdr:col>
      <xdr:colOff>179915</xdr:colOff>
      <xdr:row>16</xdr:row>
      <xdr:rowOff>52915</xdr:rowOff>
    </xdr:to>
    <xdr:sp macro="" textlink="">
      <xdr:nvSpPr>
        <xdr:cNvPr id="16" name="Прямоугольник 15">
          <a:hlinkClick xmlns:r="http://schemas.openxmlformats.org/officeDocument/2006/relationships" r:id="rId3"/>
          <a:extLst>
            <a:ext uri="{FF2B5EF4-FFF2-40B4-BE49-F238E27FC236}">
              <a16:creationId xmlns:a16="http://schemas.microsoft.com/office/drawing/2014/main" xmlns="" id="{00000000-0008-0000-0400-000010000000}"/>
            </a:ext>
          </a:extLst>
        </xdr:cNvPr>
        <xdr:cNvSpPr/>
      </xdr:nvSpPr>
      <xdr:spPr>
        <a:xfrm>
          <a:off x="0" y="8862483"/>
          <a:ext cx="6847415" cy="2772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mn-lt"/>
              <a:cs typeface="Arial" panose="020B0604020202020204" pitchFamily="34" charset="0"/>
            </a:rPr>
            <a:t>*</a:t>
          </a:r>
          <a:r>
            <a:rPr lang="ru-RU" sz="1100" b="1">
              <a:latin typeface="+mn-lt"/>
              <a:cs typeface="Arial" panose="020B0604020202020204" pitchFamily="34" charset="0"/>
            </a:rPr>
            <a:t>БОЛЕЕ ПОЛНЫЙ СПИСОК ВАРИАНТОВ ЕЦУ ВО ВКЛАДКЕ ЕЦУ</a:t>
          </a:r>
          <a:r>
            <a:rPr lang="ru-RU" sz="1100" b="1" baseline="0">
              <a:latin typeface="+mn-lt"/>
              <a:cs typeface="Arial" panose="020B0604020202020204" pitchFamily="34" charset="0"/>
            </a:rPr>
            <a:t> </a:t>
          </a:r>
          <a:r>
            <a:rPr lang="en-US" sz="1100" b="1" baseline="0">
              <a:latin typeface="+mn-lt"/>
              <a:cs typeface="Arial" panose="020B0604020202020204" pitchFamily="34" charset="0"/>
            </a:rPr>
            <a:t>DALLAS LOCK      </a:t>
          </a:r>
          <a:r>
            <a:rPr lang="en-US" sz="1100" b="1">
              <a:latin typeface="+mn-lt"/>
              <a:cs typeface="Arial" panose="020B0604020202020204" pitchFamily="34" charset="0"/>
            </a:rPr>
            <a:t>&gt;&gt;</a:t>
          </a:r>
          <a:endParaRPr lang="ru-RU" sz="1100" b="1">
            <a:latin typeface="+mn-lt"/>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194179</xdr:colOff>
      <xdr:row>10</xdr:row>
      <xdr:rowOff>9525</xdr:rowOff>
    </xdr:from>
    <xdr:to>
      <xdr:col>2</xdr:col>
      <xdr:colOff>194179</xdr:colOff>
      <xdr:row>14</xdr:row>
      <xdr:rowOff>314325</xdr:rowOff>
    </xdr:to>
    <xdr:cxnSp macro="">
      <xdr:nvCxnSpPr>
        <xdr:cNvPr id="32" name="Прямая соединительная линия 31">
          <a:extLst>
            <a:ext uri="{FF2B5EF4-FFF2-40B4-BE49-F238E27FC236}">
              <a16:creationId xmlns:a16="http://schemas.microsoft.com/office/drawing/2014/main" xmlns="" id="{00000000-0008-0000-0500-000020000000}"/>
            </a:ext>
          </a:extLst>
        </xdr:cNvPr>
        <xdr:cNvCxnSpPr/>
      </xdr:nvCxnSpPr>
      <xdr:spPr>
        <a:xfrm>
          <a:off x="277005" y="4531829"/>
          <a:ext cx="0" cy="2872409"/>
        </a:xfrm>
        <a:prstGeom prst="line">
          <a:avLst/>
        </a:prstGeom>
        <a:ln w="190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57150</xdr:colOff>
      <xdr:row>38</xdr:row>
      <xdr:rowOff>104774</xdr:rowOff>
    </xdr:from>
    <xdr:to>
      <xdr:col>3</xdr:col>
      <xdr:colOff>3924300</xdr:colOff>
      <xdr:row>74</xdr:row>
      <xdr:rowOff>130176</xdr:rowOff>
    </xdr:to>
    <xdr:sp macro="" textlink="">
      <xdr:nvSpPr>
        <xdr:cNvPr id="4" name="TextBox 3">
          <a:extLst>
            <a:ext uri="{FF2B5EF4-FFF2-40B4-BE49-F238E27FC236}">
              <a16:creationId xmlns:a16="http://schemas.microsoft.com/office/drawing/2014/main" xmlns="" id="{00000000-0008-0000-0500-000004000000}"/>
            </a:ext>
          </a:extLst>
        </xdr:cNvPr>
        <xdr:cNvSpPr txBox="1"/>
      </xdr:nvSpPr>
      <xdr:spPr>
        <a:xfrm>
          <a:off x="142875" y="11048999"/>
          <a:ext cx="5743575" cy="6883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Dallas Lock 8.0-K </a:t>
          </a:r>
          <a:endParaRPr lang="ru-RU" sz="1100" b="1" i="0" baseline="0">
            <a:solidFill>
              <a:schemeClr val="dk1"/>
            </a:solidFill>
            <a:effectLst/>
            <a:latin typeface="+mn-lt"/>
            <a:ea typeface="+mn-ea"/>
            <a:cs typeface="+mn-cs"/>
          </a:endParaRPr>
        </a:p>
        <a:p>
          <a:pPr algn="just"/>
          <a:r>
            <a:rPr lang="ru-RU" sz="1100" b="0" i="0" baseline="0">
              <a:solidFill>
                <a:schemeClr val="dk1"/>
              </a:solidFill>
              <a:effectLst/>
              <a:latin typeface="+mn-lt"/>
              <a:ea typeface="+mn-ea"/>
              <a:cs typeface="+mn-cs"/>
            </a:rPr>
            <a:t>Правило формирования цены на комплекты с </a:t>
          </a:r>
          <a:r>
            <a:rPr lang="en-US" sz="1100" b="0" i="0" baseline="0">
              <a:solidFill>
                <a:schemeClr val="dk1"/>
              </a:solidFill>
              <a:effectLst/>
              <a:latin typeface="+mn-lt"/>
              <a:ea typeface="+mn-ea"/>
              <a:cs typeface="+mn-cs"/>
            </a:rPr>
            <a:t>Dallas Lock 8.0-K</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С Базовый суммируется со стоимостью дополнительных модулей. Сертифицированный комплект для установки СЗИ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8.0-К</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на необходимое количество рабочих мест приобретается отдельно. </a:t>
          </a:r>
        </a:p>
        <a:p>
          <a:pPr algn="just"/>
          <a:endParaRPr lang="ru-RU" sz="1100" b="0" i="0" baseline="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i="0" baseline="0">
              <a:solidFill>
                <a:srgbClr val="FF0000"/>
              </a:solidFill>
              <a:effectLst/>
              <a:latin typeface="+mn-lt"/>
              <a:ea typeface="+mn-ea"/>
              <a:cs typeface="+mn-cs"/>
            </a:rPr>
            <a:t>Dallas Lock Linux/Dallas Lock 8.0-K. </a:t>
          </a:r>
          <a:r>
            <a:rPr lang="ru-RU" sz="1100" b="1" i="0" baseline="0">
              <a:solidFill>
                <a:srgbClr val="FF0000"/>
              </a:solidFill>
              <a:effectLst/>
              <a:latin typeface="+mn-lt"/>
              <a:ea typeface="+mn-ea"/>
              <a:cs typeface="+mn-cs"/>
            </a:rPr>
            <a:t>Право на использование (универсальная лицензия) </a:t>
          </a:r>
          <a:endParaRPr lang="ru-RU">
            <a:solidFill>
              <a:srgbClr val="FF0000"/>
            </a:solidFill>
            <a:effectLst/>
          </a:endParaRPr>
        </a:p>
        <a:p>
          <a:pPr algn="just"/>
          <a:r>
            <a:rPr lang="ru-RU" sz="1100" b="0" i="0" baseline="0">
              <a:solidFill>
                <a:schemeClr val="dk1"/>
              </a:solidFill>
              <a:effectLst/>
              <a:latin typeface="+mn-lt"/>
              <a:ea typeface="+mn-ea"/>
              <a:cs typeface="+mn-cs"/>
            </a:rPr>
            <a:t>См. в разделе прайса </a:t>
          </a:r>
          <a:r>
            <a:rPr lang="en-US" sz="1100" b="0" i="0" baseline="0">
              <a:solidFill>
                <a:schemeClr val="dk1"/>
              </a:solidFill>
              <a:effectLst/>
              <a:latin typeface="+mn-lt"/>
              <a:ea typeface="+mn-ea"/>
              <a:cs typeface="+mn-cs"/>
            </a:rPr>
            <a:t>Dallas Lock Linux</a:t>
          </a:r>
          <a:r>
            <a:rPr lang="ru-RU" sz="1100" b="0" i="0" baseline="0">
              <a:solidFill>
                <a:schemeClr val="dk1"/>
              </a:solidFill>
              <a:effectLst/>
              <a:latin typeface="+mn-lt"/>
              <a:ea typeface="+mn-ea"/>
              <a:cs typeface="+mn-cs"/>
            </a:rPr>
            <a:t>.</a:t>
          </a:r>
        </a:p>
        <a:p>
          <a:endParaRPr lang="ru-RU"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Dallas Lock 8.0</a:t>
          </a:r>
          <a:r>
            <a:rPr lang="ru-RU" sz="1100" b="1" i="0" baseline="0">
              <a:solidFill>
                <a:schemeClr val="dk1"/>
              </a:solidFill>
              <a:effectLst/>
              <a:latin typeface="+mn-lt"/>
              <a:ea typeface="+mn-ea"/>
              <a:cs typeface="+mn-cs"/>
            </a:rPr>
            <a:t>-К</a:t>
          </a:r>
          <a:r>
            <a:rPr lang="en-US" sz="1100" b="1" i="0" baseline="0">
              <a:solidFill>
                <a:schemeClr val="dk1"/>
              </a:solidFill>
              <a:effectLst/>
              <a:latin typeface="+mn-lt"/>
              <a:ea typeface="+mn-ea"/>
              <a:cs typeface="+mn-cs"/>
            </a:rPr>
            <a:t>. </a:t>
          </a:r>
          <a:r>
            <a:rPr lang="ru-RU" sz="1100" b="1" i="0" baseline="0">
              <a:solidFill>
                <a:schemeClr val="dk1"/>
              </a:solidFill>
              <a:effectLst/>
              <a:latin typeface="+mn-lt"/>
              <a:ea typeface="+mn-ea"/>
              <a:cs typeface="+mn-cs"/>
            </a:rPr>
            <a:t>Сертифицированный комплект для установки</a:t>
          </a:r>
          <a:endParaRPr lang="ru-RU">
            <a:effectLst/>
          </a:endParaRPr>
        </a:p>
        <a:p>
          <a:pPr algn="just"/>
          <a:r>
            <a:rPr lang="ru-RU" sz="1100" b="0" i="0" baseline="0">
              <a:solidFill>
                <a:schemeClr val="dk1"/>
              </a:solidFill>
              <a:effectLst/>
              <a:latin typeface="+mn-lt"/>
              <a:ea typeface="+mn-ea"/>
              <a:cs typeface="+mn-cs"/>
            </a:rPr>
            <a:t>Компакт-диск с ПО </a:t>
          </a:r>
          <a:r>
            <a:rPr lang="en-US" sz="1100" b="0" i="0" baseline="0">
              <a:solidFill>
                <a:schemeClr val="dk1"/>
              </a:solidFill>
              <a:effectLst/>
              <a:latin typeface="+mn-lt"/>
              <a:ea typeface="+mn-ea"/>
              <a:cs typeface="+mn-cs"/>
            </a:rPr>
            <a:t>Dallas Lock 8.0 (</a:t>
          </a:r>
          <a:r>
            <a:rPr lang="ru-RU" sz="1100" b="0" i="0" baseline="0">
              <a:solidFill>
                <a:schemeClr val="dk1"/>
              </a:solidFill>
              <a:effectLst/>
              <a:latin typeface="+mn-lt"/>
              <a:ea typeface="+mn-ea"/>
              <a:cs typeface="+mn-cs"/>
            </a:rPr>
            <a:t>соответствующей версии) и документацией в электронном виде; формуляр; копия сертификата ФСТЭК России; краткое руководство.</a:t>
          </a:r>
          <a:endParaRPr lang="ru-RU">
            <a:effectLst/>
          </a:endParaRPr>
        </a:p>
        <a:p>
          <a:endParaRPr lang="ru-RU" sz="1100" b="1" i="0" baseline="0">
            <a:solidFill>
              <a:schemeClr val="dk1"/>
            </a:solidFill>
            <a:effectLst/>
            <a:latin typeface="+mn-lt"/>
            <a:ea typeface="+mn-ea"/>
            <a:cs typeface="+mn-cs"/>
          </a:endParaRPr>
        </a:p>
        <a:p>
          <a:r>
            <a:rPr lang="ru-RU" sz="1100" b="1" i="0" baseline="0">
              <a:solidFill>
                <a:schemeClr val="dk1"/>
              </a:solidFill>
              <a:effectLst/>
              <a:latin typeface="+mn-lt"/>
              <a:ea typeface="+mn-ea"/>
              <a:cs typeface="+mn-cs"/>
            </a:rPr>
            <a:t>Терминальное подключение для </a:t>
          </a:r>
          <a:r>
            <a:rPr lang="en-US" sz="1100" b="1" i="0" baseline="0">
              <a:solidFill>
                <a:schemeClr val="dk1"/>
              </a:solidFill>
              <a:effectLst/>
              <a:latin typeface="+mn-lt"/>
              <a:ea typeface="+mn-ea"/>
              <a:cs typeface="+mn-cs"/>
            </a:rPr>
            <a:t>Dallas Lock 8.0-K. </a:t>
          </a:r>
          <a:r>
            <a:rPr lang="ru-RU" sz="1100" b="1" i="0" baseline="0">
              <a:solidFill>
                <a:schemeClr val="dk1"/>
              </a:solidFill>
              <a:effectLst/>
              <a:latin typeface="+mn-lt"/>
              <a:ea typeface="+mn-ea"/>
              <a:cs typeface="+mn-cs"/>
            </a:rPr>
            <a:t>Право на использование</a:t>
          </a:r>
          <a:endParaRPr lang="ru-RU">
            <a:effectLst/>
          </a:endParaRPr>
        </a:p>
        <a:p>
          <a:pPr algn="just"/>
          <a:r>
            <a:rPr lang="ru-RU" sz="1100" b="0" i="0" baseline="0">
              <a:solidFill>
                <a:schemeClr val="dk1"/>
              </a:solidFill>
              <a:effectLst/>
              <a:latin typeface="+mn-lt"/>
              <a:ea typeface="+mn-ea"/>
              <a:cs typeface="+mn-cs"/>
            </a:rPr>
            <a:t>Комплект поставки: лицензионный </a:t>
          </a:r>
          <a:r>
            <a:rPr lang="en-US" sz="1100" b="0" i="0" baseline="0">
              <a:solidFill>
                <a:schemeClr val="dk1"/>
              </a:solidFill>
              <a:effectLst/>
              <a:latin typeface="+mn-lt"/>
              <a:ea typeface="+mn-ea"/>
              <a:cs typeface="+mn-cs"/>
            </a:rPr>
            <a:t>USB-</a:t>
          </a:r>
          <a:r>
            <a:rPr lang="ru-RU" sz="1100" b="0" i="0" baseline="0">
              <a:solidFill>
                <a:schemeClr val="dk1"/>
              </a:solidFill>
              <a:effectLst/>
              <a:latin typeface="+mn-lt"/>
              <a:ea typeface="+mn-ea"/>
              <a:cs typeface="+mn-cs"/>
            </a:rPr>
            <a:t>ключ с указанием максимального количества терминальных подключений.</a:t>
          </a:r>
          <a:endParaRPr lang="ru-RU">
            <a:effectLst/>
          </a:endParaRPr>
        </a:p>
        <a:p>
          <a:pPr algn="just"/>
          <a:endParaRPr lang="ru-RU" sz="1100" b="0" i="0" u="none" strike="noStrike" baseline="0">
            <a:solidFill>
              <a:schemeClr val="dk1"/>
            </a:solidFill>
            <a:latin typeface="Arial" panose="020B0604020202020204" pitchFamily="34" charset="0"/>
            <a:ea typeface="+mn-ea"/>
            <a:cs typeface="Arial" panose="020B0604020202020204" pitchFamily="34" charset="0"/>
          </a:endParaRPr>
        </a:p>
        <a:p>
          <a:r>
            <a:rPr lang="ru-RU" sz="1100" b="1" i="0" baseline="0">
              <a:solidFill>
                <a:schemeClr val="dk1"/>
              </a:solidFill>
              <a:effectLst/>
              <a:latin typeface="+mn-lt"/>
              <a:ea typeface="+mn-ea"/>
              <a:cs typeface="+mn-cs"/>
            </a:rPr>
            <a:t>Техническая поддержка</a:t>
          </a:r>
          <a:endParaRPr lang="ru-R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endParaRPr lang="ru-RU" sz="1100" b="0" i="0" u="none" strike="noStrike" baseline="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4</xdr:col>
      <xdr:colOff>6724</xdr:colOff>
      <xdr:row>38</xdr:row>
      <xdr:rowOff>104774</xdr:rowOff>
    </xdr:from>
    <xdr:to>
      <xdr:col>14</xdr:col>
      <xdr:colOff>47625</xdr:colOff>
      <xdr:row>74</xdr:row>
      <xdr:rowOff>172509</xdr:rowOff>
    </xdr:to>
    <xdr:sp macro="" textlink="">
      <xdr:nvSpPr>
        <xdr:cNvPr id="5" name="TextBox 4">
          <a:extLst>
            <a:ext uri="{FF2B5EF4-FFF2-40B4-BE49-F238E27FC236}">
              <a16:creationId xmlns:a16="http://schemas.microsoft.com/office/drawing/2014/main" xmlns="" id="{00000000-0008-0000-0500-000005000000}"/>
            </a:ext>
          </a:extLst>
        </xdr:cNvPr>
        <xdr:cNvSpPr txBox="1"/>
      </xdr:nvSpPr>
      <xdr:spPr>
        <a:xfrm>
          <a:off x="5931274" y="11048999"/>
          <a:ext cx="6470276" cy="6925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ru-RU" sz="1100" b="0" i="0" baseline="0">
              <a:solidFill>
                <a:schemeClr val="dk1"/>
              </a:solidFill>
              <a:effectLst/>
              <a:latin typeface="+mn-lt"/>
              <a:ea typeface="+mn-ea"/>
              <a:cs typeface="+mn-cs"/>
            </a:rPr>
            <a:t>.</a:t>
          </a:r>
        </a:p>
        <a:p>
          <a:pPr algn="just"/>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p>
        <a:p>
          <a:pPr algn="just"/>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p>
        <a:p>
          <a:pPr algn="just"/>
          <a:endParaRPr lang="ru-RU">
            <a:effectLst/>
          </a:endParaRPr>
        </a:p>
        <a:p>
          <a:pPr algn="l"/>
          <a:r>
            <a:rPr lang="ru-RU" sz="1100" b="1" i="0" baseline="0">
              <a:solidFill>
                <a:schemeClr val="dk1"/>
              </a:solidFill>
              <a:effectLst/>
              <a:latin typeface="+mn-lt"/>
              <a:ea typeface="+mn-ea"/>
              <a:cs typeface="+mn-cs"/>
            </a:rPr>
            <a:t>Комментарии</a:t>
          </a:r>
          <a:endParaRPr lang="ru-RU">
            <a:effectLst/>
          </a:endParaRPr>
        </a:p>
        <a:p>
          <a:pPr algn="just"/>
          <a:r>
            <a:rPr lang="ru-RU" sz="1100" b="0" i="0" baseline="0">
              <a:solidFill>
                <a:schemeClr val="dk1"/>
              </a:solidFill>
              <a:effectLst/>
              <a:latin typeface="+mn-lt"/>
              <a:ea typeface="+mn-ea"/>
              <a:cs typeface="+mn-cs"/>
            </a:rPr>
            <a:t>• Для пользователей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К с действующей технической поддержкой бесплатно продлевается техническая поддержка на 1 год с момента приобретения модуля «Межсетевой экран» (в том числе совместно с модулем «Система обнаружения и предотвращения вторжений»). Срок действия акции ограничен.</a:t>
          </a:r>
          <a:endParaRPr lang="ru-RU">
            <a:effectLst/>
          </a:endParaRPr>
        </a:p>
        <a:p>
          <a:pPr algn="just"/>
          <a:r>
            <a:rPr lang="ru-RU" sz="1100" b="0" i="0" baseline="0">
              <a:solidFill>
                <a:schemeClr val="dk1"/>
              </a:solidFill>
              <a:effectLst/>
              <a:latin typeface="+mn-lt"/>
              <a:ea typeface="+mn-ea"/>
              <a:cs typeface="+mn-cs"/>
            </a:rPr>
            <a:t>• Для пользователей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К с прерванной технической поддержкой бесплатно возобновляется техническая поддержка СЗИ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8.0-К с любым истекшим сроком действия при приобретении модуля «Межсетевой экран» (в том числе с модулем «Система обнаружения и предотвращения вторжений») и оплате 1 года технического сопровождения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К. Срок действия акции ограничен.</a:t>
          </a:r>
          <a:endParaRPr lang="ru-RU">
            <a:effectLst/>
          </a:endParaRPr>
        </a:p>
        <a:p>
          <a:pPr algn="just"/>
          <a:r>
            <a:rPr lang="ru-RU" sz="1100" b="0" i="0" baseline="0">
              <a:solidFill>
                <a:schemeClr val="dk1"/>
              </a:solidFill>
              <a:effectLst/>
              <a:latin typeface="+mn-lt"/>
              <a:ea typeface="+mn-ea"/>
              <a:cs typeface="+mn-cs"/>
            </a:rPr>
            <a:t>•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К совместима с различными моделями электронных ключей и смарт-карт </a:t>
          </a:r>
          <a:r>
            <a:rPr lang="en-US" sz="1100" b="0" i="0" baseline="0">
              <a:solidFill>
                <a:schemeClr val="dk1"/>
              </a:solidFill>
              <a:effectLst/>
              <a:latin typeface="+mn-lt"/>
              <a:ea typeface="+mn-ea"/>
              <a:cs typeface="+mn-cs"/>
            </a:rPr>
            <a:t>JaCarta </a:t>
          </a:r>
          <a:r>
            <a:rPr lang="ru-RU" sz="1100" b="0" i="0" baseline="0">
              <a:solidFill>
                <a:schemeClr val="dk1"/>
              </a:solidFill>
              <a:effectLst/>
              <a:latin typeface="+mn-lt"/>
              <a:ea typeface="+mn-ea"/>
              <a:cs typeface="+mn-cs"/>
            </a:rPr>
            <a:t>и </a:t>
          </a:r>
          <a:r>
            <a:rPr lang="en-US" sz="1100" b="0" i="0" baseline="0">
              <a:solidFill>
                <a:schemeClr val="dk1"/>
              </a:solidFill>
              <a:effectLst/>
              <a:latin typeface="+mn-lt"/>
              <a:ea typeface="+mn-ea"/>
              <a:cs typeface="+mn-cs"/>
            </a:rPr>
            <a:t>eToken, </a:t>
          </a:r>
          <a:r>
            <a:rPr lang="ru-RU" sz="1100" b="0" i="0" baseline="0">
              <a:solidFill>
                <a:schemeClr val="dk1"/>
              </a:solidFill>
              <a:effectLst/>
              <a:latin typeface="+mn-lt"/>
              <a:ea typeface="+mn-ea"/>
              <a:cs typeface="+mn-cs"/>
            </a:rPr>
            <a:t>Рутокен, </a:t>
          </a:r>
          <a:r>
            <a:rPr lang="en-US" sz="1100" b="0" i="0" baseline="0">
              <a:solidFill>
                <a:schemeClr val="dk1"/>
              </a:solidFill>
              <a:effectLst/>
              <a:latin typeface="+mn-lt"/>
              <a:ea typeface="+mn-ea"/>
              <a:cs typeface="+mn-cs"/>
            </a:rPr>
            <a:t>eSmart, </a:t>
          </a:r>
          <a:r>
            <a:rPr lang="ru-RU" sz="1100" b="0" i="0" baseline="0">
              <a:solidFill>
                <a:schemeClr val="dk1"/>
              </a:solidFill>
              <a:effectLst/>
              <a:latin typeface="+mn-lt"/>
              <a:ea typeface="+mn-ea"/>
              <a:cs typeface="+mn-cs"/>
            </a:rPr>
            <a:t>электронными ключами </a:t>
          </a:r>
          <a:r>
            <a:rPr lang="en-US" sz="1100" b="0" i="0" baseline="0">
              <a:solidFill>
                <a:schemeClr val="dk1"/>
              </a:solidFill>
              <a:effectLst/>
              <a:latin typeface="+mn-lt"/>
              <a:ea typeface="+mn-ea"/>
              <a:cs typeface="+mn-cs"/>
            </a:rPr>
            <a:t>Touch Memory (iButton), </a:t>
          </a:r>
          <a:r>
            <a:rPr lang="ru-RU" sz="1100" b="0" i="0" baseline="0">
              <a:solidFill>
                <a:schemeClr val="dk1"/>
              </a:solidFill>
              <a:effectLst/>
              <a:latin typeface="+mn-lt"/>
              <a:ea typeface="+mn-ea"/>
              <a:cs typeface="+mn-cs"/>
            </a:rPr>
            <a:t>картами </a:t>
          </a:r>
          <a:r>
            <a:rPr lang="en-US" sz="1100" b="0" i="0" baseline="0">
              <a:solidFill>
                <a:schemeClr val="dk1"/>
              </a:solidFill>
              <a:effectLst/>
              <a:latin typeface="+mn-lt"/>
              <a:ea typeface="+mn-ea"/>
              <a:cs typeface="+mn-cs"/>
            </a:rPr>
            <a:t>HID Proximity, </a:t>
          </a:r>
          <a:r>
            <a:rPr lang="ru-RU" sz="1100" b="0" i="0" baseline="0">
              <a:solidFill>
                <a:schemeClr val="dk1"/>
              </a:solidFill>
              <a:effectLst/>
              <a:latin typeface="+mn-lt"/>
              <a:ea typeface="+mn-ea"/>
              <a:cs typeface="+mn-cs"/>
            </a:rPr>
            <a:t>а также с программными решениями различных производителей.</a:t>
          </a:r>
          <a:endParaRPr lang="en-US" sz="1100" b="0" i="0" baseline="0">
            <a:solidFill>
              <a:schemeClr val="dk1"/>
            </a:solidFill>
            <a:effectLst/>
            <a:latin typeface="+mn-lt"/>
            <a:ea typeface="+mn-ea"/>
            <a:cs typeface="+mn-cs"/>
          </a:endParaRPr>
        </a:p>
        <a:p>
          <a:pPr algn="just"/>
          <a:r>
            <a:rPr lang="ru-RU" sz="1100" b="0" i="0" baseline="0">
              <a:solidFill>
                <a:schemeClr val="dk1"/>
              </a:solidFill>
              <a:effectLst/>
              <a:latin typeface="+mn-lt"/>
              <a:ea typeface="+mn-ea"/>
              <a:cs typeface="+mn-cs"/>
            </a:rPr>
            <a:t>• Сертифицированная функциональность модуля «СКН уровня отчуждения (переноса) информации» для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К доступна только совместно с аппаратным идентификатором Рутокен ЭЦП 2.0 </a:t>
          </a:r>
          <a:r>
            <a:rPr lang="en-US" sz="1100" b="0" i="0" baseline="0">
              <a:solidFill>
                <a:schemeClr val="dk1"/>
              </a:solidFill>
              <a:effectLst/>
              <a:latin typeface="+mn-lt"/>
              <a:ea typeface="+mn-ea"/>
              <a:cs typeface="+mn-cs"/>
            </a:rPr>
            <a:t>Flash (</a:t>
          </a:r>
          <a:r>
            <a:rPr lang="ru-RU" sz="1100" b="0" i="0" baseline="0">
              <a:solidFill>
                <a:schemeClr val="dk1"/>
              </a:solidFill>
              <a:effectLst/>
              <a:latin typeface="+mn-lt"/>
              <a:ea typeface="+mn-ea"/>
              <a:cs typeface="+mn-cs"/>
            </a:rPr>
            <a:t>приобретается отдельно</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a:t>
          </a:r>
          <a:endParaRPr lang="ru-RU" sz="1100">
            <a:latin typeface="Arial" panose="020B0604020202020204" pitchFamily="34" charset="0"/>
            <a:cs typeface="Arial" panose="020B0604020202020204" pitchFamily="34" charset="0"/>
          </a:endParaRPr>
        </a:p>
      </xdr:txBody>
    </xdr:sp>
    <xdr:clientData/>
  </xdr:twoCellAnchor>
  <xdr:twoCellAnchor>
    <xdr:from>
      <xdr:col>2</xdr:col>
      <xdr:colOff>66675</xdr:colOff>
      <xdr:row>74</xdr:row>
      <xdr:rowOff>183853</xdr:rowOff>
    </xdr:from>
    <xdr:to>
      <xdr:col>14</xdr:col>
      <xdr:colOff>66675</xdr:colOff>
      <xdr:row>81</xdr:row>
      <xdr:rowOff>102212</xdr:rowOff>
    </xdr:to>
    <xdr:grpSp>
      <xdr:nvGrpSpPr>
        <xdr:cNvPr id="6" name="Группа 5">
          <a:extLst>
            <a:ext uri="{FF2B5EF4-FFF2-40B4-BE49-F238E27FC236}">
              <a16:creationId xmlns:a16="http://schemas.microsoft.com/office/drawing/2014/main" xmlns="" id="{00000000-0008-0000-0500-000006000000}"/>
            </a:ext>
          </a:extLst>
        </xdr:cNvPr>
        <xdr:cNvGrpSpPr/>
      </xdr:nvGrpSpPr>
      <xdr:grpSpPr>
        <a:xfrm>
          <a:off x="238125" y="17986078"/>
          <a:ext cx="12182475" cy="1251859"/>
          <a:chOff x="9525" y="13325475"/>
          <a:chExt cx="12372975" cy="1066801"/>
        </a:xfrm>
      </xdr:grpSpPr>
      <xdr:sp macro="" textlink="">
        <xdr:nvSpPr>
          <xdr:cNvPr id="7" name="TextBox 6">
            <a:extLst>
              <a:ext uri="{FF2B5EF4-FFF2-40B4-BE49-F238E27FC236}">
                <a16:creationId xmlns:a16="http://schemas.microsoft.com/office/drawing/2014/main" xmlns="" id="{00000000-0008-0000-0500-000007000000}"/>
              </a:ext>
            </a:extLst>
          </xdr:cNvPr>
          <xdr:cNvSpPr txBox="1"/>
        </xdr:nvSpPr>
        <xdr:spPr>
          <a:xfrm>
            <a:off x="9525" y="13363576"/>
            <a:ext cx="1237297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 «x» – </a:t>
            </a:r>
            <a:r>
              <a:rPr lang="ru-RU" sz="1100" b="0" i="0" baseline="0">
                <a:solidFill>
                  <a:schemeClr val="dk1"/>
                </a:solidFill>
                <a:effectLst/>
                <a:latin typeface="+mn-lt"/>
                <a:ea typeface="+mn-ea"/>
                <a:cs typeface="+mn-cs"/>
              </a:rPr>
              <a:t>диапазон приобретаемых лицензий по количеству рабочих станций, серверов; «</a:t>
            </a:r>
            <a:r>
              <a:rPr lang="en-US" sz="1100" b="0" i="0" baseline="0">
                <a:solidFill>
                  <a:schemeClr val="dk1"/>
                </a:solidFill>
                <a:effectLst/>
                <a:latin typeface="+mn-lt"/>
                <a:ea typeface="+mn-ea"/>
                <a:cs typeface="+mn-cs"/>
              </a:rPr>
              <a:t>y» – </a:t>
            </a:r>
            <a:r>
              <a:rPr lang="ru-RU" sz="1100" b="0" i="0" baseline="0">
                <a:solidFill>
                  <a:schemeClr val="dk1"/>
                </a:solidFill>
                <a:effectLst/>
                <a:latin typeface="+mn-lt"/>
                <a:ea typeface="+mn-ea"/>
                <a:cs typeface="+mn-cs"/>
              </a:rPr>
              <a:t>тип системы сертификации: </a:t>
            </a:r>
            <a:r>
              <a:rPr lang="en-US" sz="1100" b="0" i="0" baseline="0">
                <a:solidFill>
                  <a:schemeClr val="dk1"/>
                </a:solidFill>
                <a:effectLst/>
                <a:latin typeface="+mn-lt"/>
                <a:ea typeface="+mn-ea"/>
                <a:cs typeface="+mn-cs"/>
              </a:rPr>
              <a:t>FSTEC (</a:t>
            </a:r>
            <a:r>
              <a:rPr lang="ru-RU" sz="1100" b="0" i="0" baseline="0">
                <a:solidFill>
                  <a:schemeClr val="dk1"/>
                </a:solidFill>
                <a:effectLst/>
                <a:latin typeface="+mn-lt"/>
                <a:ea typeface="+mn-ea"/>
                <a:cs typeface="+mn-cs"/>
              </a:rPr>
              <a:t>ФСТЭК России), </a:t>
            </a:r>
            <a:r>
              <a:rPr lang="en-US" sz="1100" b="0" i="0" baseline="0">
                <a:solidFill>
                  <a:schemeClr val="dk1"/>
                </a:solidFill>
                <a:effectLst/>
                <a:latin typeface="+mn-lt"/>
                <a:ea typeface="+mn-ea"/>
                <a:cs typeface="+mn-cs"/>
              </a:rPr>
              <a:t>MO (</a:t>
            </a:r>
            <a:r>
              <a:rPr lang="ru-RU" sz="1100" b="0" i="0" baseline="0">
                <a:solidFill>
                  <a:schemeClr val="dk1"/>
                </a:solidFill>
                <a:effectLst/>
                <a:latin typeface="+mn-lt"/>
                <a:ea typeface="+mn-ea"/>
                <a:cs typeface="+mn-cs"/>
              </a:rPr>
              <a:t>Минобороны России);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p>
          <a:p>
            <a:r>
              <a:rPr lang="ru-RU" sz="1100" b="0" i="0" baseline="0">
                <a:solidFill>
                  <a:schemeClr val="dk1"/>
                </a:solidFill>
                <a:effectLst/>
                <a:latin typeface="+mn-lt"/>
                <a:ea typeface="+mn-ea"/>
                <a:cs typeface="+mn-cs"/>
              </a:rPr>
              <a:t>** На основании статьи № 149 п. 2 пп. 26 НК РФ стоимость передаваемых неисключительных прав на используемое программное обеспечение не облагается НДС.</a:t>
            </a:r>
          </a:p>
          <a:p>
            <a:r>
              <a:rPr lang="ru-RU" sz="1100" b="0" i="0" baseline="0">
                <a:solidFill>
                  <a:schemeClr val="dk1"/>
                </a:solidFill>
                <a:effectLst/>
                <a:latin typeface="+mn-lt"/>
                <a:ea typeface="+mn-ea"/>
                <a:cs typeface="+mn-cs"/>
              </a:rPr>
              <a:t>*** В стоимость входит НДС 20%.</a:t>
            </a:r>
            <a:endParaRPr lang="en-US" sz="1100" b="0" i="0" baseline="0">
              <a:solidFill>
                <a:schemeClr val="dk1"/>
              </a:solidFill>
              <a:effectLst/>
              <a:latin typeface="+mn-lt"/>
              <a:ea typeface="+mn-ea"/>
              <a:cs typeface="+mn-cs"/>
            </a:endParaRPr>
          </a:p>
        </xdr:txBody>
      </xdr:sp>
      <xdr:cxnSp macro="">
        <xdr:nvCxnSpPr>
          <xdr:cNvPr id="8" name="Прямая соединительная линия 7">
            <a:extLst>
              <a:ext uri="{FF2B5EF4-FFF2-40B4-BE49-F238E27FC236}">
                <a16:creationId xmlns:a16="http://schemas.microsoft.com/office/drawing/2014/main" xmlns="" id="{00000000-0008-0000-0500-000008000000}"/>
              </a:ext>
            </a:extLst>
          </xdr:cNvPr>
          <xdr:cNvCxnSpPr/>
        </xdr:nvCxnSpPr>
        <xdr:spPr>
          <a:xfrm>
            <a:off x="76200" y="13325475"/>
            <a:ext cx="12188742"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2</xdr:col>
      <xdr:colOff>128087</xdr:colOff>
      <xdr:row>80</xdr:row>
      <xdr:rowOff>79079</xdr:rowOff>
    </xdr:from>
    <xdr:to>
      <xdr:col>12</xdr:col>
      <xdr:colOff>320149</xdr:colOff>
      <xdr:row>82</xdr:row>
      <xdr:rowOff>186069</xdr:rowOff>
    </xdr:to>
    <xdr:pic>
      <xdr:nvPicPr>
        <xdr:cNvPr id="10" name="Рисунок 9">
          <a:extLst>
            <a:ext uri="{FF2B5EF4-FFF2-40B4-BE49-F238E27FC236}">
              <a16:creationId xmlns:a16="http://schemas.microsoft.com/office/drawing/2014/main" xmlns="" id="{00000000-0008-0000-05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537" y="19024304"/>
          <a:ext cx="11583962" cy="4879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85725</xdr:colOff>
          <xdr:row>10</xdr:row>
          <xdr:rowOff>47625</xdr:rowOff>
        </xdr:from>
        <xdr:to>
          <xdr:col>2</xdr:col>
          <xdr:colOff>276225</xdr:colOff>
          <xdr:row>10</xdr:row>
          <xdr:rowOff>428625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xmlns=""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47625</xdr:rowOff>
        </xdr:from>
        <xdr:to>
          <xdr:col>2</xdr:col>
          <xdr:colOff>276225</xdr:colOff>
          <xdr:row>11</xdr:row>
          <xdr:rowOff>428625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xmlns=""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13</xdr:row>
          <xdr:rowOff>66675</xdr:rowOff>
        </xdr:from>
        <xdr:to>
          <xdr:col>2</xdr:col>
          <xdr:colOff>276225</xdr:colOff>
          <xdr:row>13</xdr:row>
          <xdr:rowOff>447675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xmlns=""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66675</xdr:rowOff>
        </xdr:from>
        <xdr:to>
          <xdr:col>2</xdr:col>
          <xdr:colOff>276225</xdr:colOff>
          <xdr:row>14</xdr:row>
          <xdr:rowOff>447675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xmlns=""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3762375</xdr:colOff>
          <xdr:row>6</xdr:row>
          <xdr:rowOff>85725</xdr:rowOff>
        </xdr:from>
        <xdr:to>
          <xdr:col>4</xdr:col>
          <xdr:colOff>47625</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xmlns=""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66675</xdr:rowOff>
        </xdr:from>
        <xdr:to>
          <xdr:col>2</xdr:col>
          <xdr:colOff>276225</xdr:colOff>
          <xdr:row>12</xdr:row>
          <xdr:rowOff>447675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xmlns=""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347382</xdr:colOff>
      <xdr:row>2</xdr:row>
      <xdr:rowOff>112058</xdr:rowOff>
    </xdr:from>
    <xdr:to>
      <xdr:col>4</xdr:col>
      <xdr:colOff>533141</xdr:colOff>
      <xdr:row>2</xdr:row>
      <xdr:rowOff>297817</xdr:rowOff>
    </xdr:to>
    <xdr:pic>
      <xdr:nvPicPr>
        <xdr:cNvPr id="17" name="Рисунок 16">
          <a:extLst>
            <a:ext uri="{FF2B5EF4-FFF2-40B4-BE49-F238E27FC236}">
              <a16:creationId xmlns:a16="http://schemas.microsoft.com/office/drawing/2014/main" xmlns="" id="{00000000-0008-0000-0500-000011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6129617" y="1389529"/>
          <a:ext cx="185759" cy="185759"/>
        </a:xfrm>
        <a:prstGeom prst="rect">
          <a:avLst/>
        </a:prstGeom>
      </xdr:spPr>
    </xdr:pic>
    <xdr:clientData/>
  </xdr:twoCellAnchor>
  <xdr:twoCellAnchor>
    <xdr:from>
      <xdr:col>0</xdr:col>
      <xdr:colOff>0</xdr:colOff>
      <xdr:row>2</xdr:row>
      <xdr:rowOff>1</xdr:rowOff>
    </xdr:from>
    <xdr:to>
      <xdr:col>14</xdr:col>
      <xdr:colOff>0</xdr:colOff>
      <xdr:row>3</xdr:row>
      <xdr:rowOff>9526</xdr:rowOff>
    </xdr:to>
    <xdr:sp macro="" textlink="">
      <xdr:nvSpPr>
        <xdr:cNvPr id="18" name="Прямоугольник 17">
          <a:hlinkClick xmlns:r="http://schemas.openxmlformats.org/officeDocument/2006/relationships" r:id="rId3"/>
          <a:extLst>
            <a:ext uri="{FF2B5EF4-FFF2-40B4-BE49-F238E27FC236}">
              <a16:creationId xmlns:a16="http://schemas.microsoft.com/office/drawing/2014/main" xmlns="" id="{00000000-0008-0000-0500-000012000000}"/>
            </a:ext>
          </a:extLst>
        </xdr:cNvPr>
        <xdr:cNvSpPr/>
      </xdr:nvSpPr>
      <xdr:spPr>
        <a:xfrm>
          <a:off x="0" y="1276351"/>
          <a:ext cx="1235392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0</xdr:colOff>
      <xdr:row>0</xdr:row>
      <xdr:rowOff>0</xdr:rowOff>
    </xdr:from>
    <xdr:to>
      <xdr:col>12</xdr:col>
      <xdr:colOff>652014</xdr:colOff>
      <xdr:row>2</xdr:row>
      <xdr:rowOff>0</xdr:rowOff>
    </xdr:to>
    <xdr:pic>
      <xdr:nvPicPr>
        <xdr:cNvPr id="19" name="Рисунок 18">
          <a:hlinkClick xmlns:r="http://schemas.openxmlformats.org/officeDocument/2006/relationships" r:id="rId4"/>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5"/>
        <a:stretch>
          <a:fillRect/>
        </a:stretch>
      </xdr:blipFill>
      <xdr:spPr>
        <a:xfrm>
          <a:off x="0" y="0"/>
          <a:ext cx="12215364" cy="12763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533400</xdr:colOff>
          <xdr:row>6</xdr:row>
          <xdr:rowOff>85725</xdr:rowOff>
        </xdr:from>
        <xdr:to>
          <xdr:col>12</xdr:col>
          <xdr:colOff>76200</xdr:colOff>
          <xdr:row>8</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xmlns=""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33</xdr:row>
      <xdr:rowOff>125942</xdr:rowOff>
    </xdr:from>
    <xdr:to>
      <xdr:col>25</xdr:col>
      <xdr:colOff>10583</xdr:colOff>
      <xdr:row>36</xdr:row>
      <xdr:rowOff>93844</xdr:rowOff>
    </xdr:to>
    <xdr:pic>
      <xdr:nvPicPr>
        <xdr:cNvPr id="9" name="Рисунок 8">
          <a:extLst>
            <a:ext uri="{FF2B5EF4-FFF2-40B4-BE49-F238E27FC236}">
              <a16:creationId xmlns:a16="http://schemas.microsoft.com/office/drawing/2014/main" xmlns="" id="{00000000-0008-0000-0500-00000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0117667"/>
          <a:ext cx="12450233" cy="539402"/>
        </a:xfrm>
        <a:prstGeom prst="rect">
          <a:avLst/>
        </a:prstGeom>
      </xdr:spPr>
    </xdr:pic>
    <xdr:clientData/>
  </xdr:twoCellAnchor>
  <xdr:twoCellAnchor>
    <xdr:from>
      <xdr:col>0</xdr:col>
      <xdr:colOff>74084</xdr:colOff>
      <xdr:row>31</xdr:row>
      <xdr:rowOff>497418</xdr:rowOff>
    </xdr:from>
    <xdr:to>
      <xdr:col>4</xdr:col>
      <xdr:colOff>116416</xdr:colOff>
      <xdr:row>33</xdr:row>
      <xdr:rowOff>116417</xdr:rowOff>
    </xdr:to>
    <xdr:sp macro="" textlink="">
      <xdr:nvSpPr>
        <xdr:cNvPr id="3" name="Прямоугольник 2">
          <a:hlinkClick xmlns:r="http://schemas.openxmlformats.org/officeDocument/2006/relationships" r:id="rId7"/>
          <a:extLst>
            <a:ext uri="{FF2B5EF4-FFF2-40B4-BE49-F238E27FC236}">
              <a16:creationId xmlns:a16="http://schemas.microsoft.com/office/drawing/2014/main" xmlns="" id="{00000000-0008-0000-0500-000003000000}"/>
            </a:ext>
          </a:extLst>
        </xdr:cNvPr>
        <xdr:cNvSpPr/>
      </xdr:nvSpPr>
      <xdr:spPr>
        <a:xfrm>
          <a:off x="74084" y="12160251"/>
          <a:ext cx="5958415" cy="338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mn-lt"/>
              <a:cs typeface="Arial" panose="020B0604020202020204" pitchFamily="34" charset="0"/>
            </a:rPr>
            <a:t>*</a:t>
          </a:r>
          <a:r>
            <a:rPr lang="ru-RU" sz="1100" b="1">
              <a:latin typeface="+mn-lt"/>
              <a:cs typeface="Arial" panose="020B0604020202020204" pitchFamily="34" charset="0"/>
            </a:rPr>
            <a:t>БОЛЕЕ ПОЛНЫЙ СПИСОК ВАРИАНТОВ ЕЦУ ВО ВКЛАДКЕ ЕЦУ</a:t>
          </a:r>
          <a:r>
            <a:rPr lang="ru-RU" sz="1100" b="1" baseline="0">
              <a:latin typeface="+mn-lt"/>
              <a:cs typeface="Arial" panose="020B0604020202020204" pitchFamily="34" charset="0"/>
            </a:rPr>
            <a:t> </a:t>
          </a:r>
          <a:r>
            <a:rPr lang="en-US" sz="1100" b="1" baseline="0">
              <a:latin typeface="+mn-lt"/>
              <a:cs typeface="Arial" panose="020B0604020202020204" pitchFamily="34" charset="0"/>
            </a:rPr>
            <a:t>DALLAS LOCK      </a:t>
          </a:r>
          <a:r>
            <a:rPr lang="en-US" sz="1100" b="1">
              <a:latin typeface="+mn-lt"/>
              <a:cs typeface="Arial" panose="020B0604020202020204" pitchFamily="34" charset="0"/>
            </a:rPr>
            <a:t>&gt;&gt;</a:t>
          </a:r>
          <a:endParaRPr lang="ru-RU" sz="1100" b="1">
            <a:latin typeface="+mn-lt"/>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3762375</xdr:colOff>
          <xdr:row>29</xdr:row>
          <xdr:rowOff>95250</xdr:rowOff>
        </xdr:from>
        <xdr:to>
          <xdr:col>4</xdr:col>
          <xdr:colOff>47625</xdr:colOff>
          <xdr:row>31</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xmlns=""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29</xdr:row>
          <xdr:rowOff>95250</xdr:rowOff>
        </xdr:from>
        <xdr:to>
          <xdr:col>12</xdr:col>
          <xdr:colOff>76200</xdr:colOff>
          <xdr:row>31</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xmlns=""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194179</xdr:colOff>
      <xdr:row>10</xdr:row>
      <xdr:rowOff>9525</xdr:rowOff>
    </xdr:from>
    <xdr:to>
      <xdr:col>2</xdr:col>
      <xdr:colOff>194179</xdr:colOff>
      <xdr:row>14</xdr:row>
      <xdr:rowOff>314325</xdr:rowOff>
    </xdr:to>
    <xdr:cxnSp macro="">
      <xdr:nvCxnSpPr>
        <xdr:cNvPr id="2" name="Прямая соединительная линия 1">
          <a:extLst>
            <a:ext uri="{FF2B5EF4-FFF2-40B4-BE49-F238E27FC236}">
              <a16:creationId xmlns:a16="http://schemas.microsoft.com/office/drawing/2014/main" xmlns="" id="{00000000-0008-0000-0600-000002000000}"/>
            </a:ext>
          </a:extLst>
        </xdr:cNvPr>
        <xdr:cNvCxnSpPr/>
      </xdr:nvCxnSpPr>
      <xdr:spPr>
        <a:xfrm>
          <a:off x="279904" y="4543425"/>
          <a:ext cx="0" cy="2362200"/>
        </a:xfrm>
        <a:prstGeom prst="line">
          <a:avLst/>
        </a:prstGeom>
        <a:ln w="1905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37</xdr:row>
      <xdr:rowOff>9523</xdr:rowOff>
    </xdr:from>
    <xdr:to>
      <xdr:col>3</xdr:col>
      <xdr:colOff>3952875</xdr:colOff>
      <xdr:row>75</xdr:row>
      <xdr:rowOff>184337</xdr:rowOff>
    </xdr:to>
    <xdr:sp macro="" textlink="">
      <xdr:nvSpPr>
        <xdr:cNvPr id="3" name="TextBox 2">
          <a:extLst>
            <a:ext uri="{FF2B5EF4-FFF2-40B4-BE49-F238E27FC236}">
              <a16:creationId xmlns:a16="http://schemas.microsoft.com/office/drawing/2014/main" xmlns="" id="{00000000-0008-0000-0600-000003000000}"/>
            </a:ext>
          </a:extLst>
        </xdr:cNvPr>
        <xdr:cNvSpPr txBox="1"/>
      </xdr:nvSpPr>
      <xdr:spPr>
        <a:xfrm>
          <a:off x="171450" y="11477623"/>
          <a:ext cx="5753100" cy="74138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Dallas Lock 8.0-</a:t>
          </a:r>
          <a:r>
            <a:rPr lang="ru-RU" sz="1100" b="1" i="0" baseline="0">
              <a:solidFill>
                <a:schemeClr val="dk1"/>
              </a:solidFill>
              <a:effectLst/>
              <a:latin typeface="+mn-lt"/>
              <a:ea typeface="+mn-ea"/>
              <a:cs typeface="+mn-cs"/>
            </a:rPr>
            <a:t>С</a:t>
          </a:r>
          <a:r>
            <a:rPr lang="en-US" sz="1100" b="1" i="0" baseline="0">
              <a:solidFill>
                <a:schemeClr val="dk1"/>
              </a:solidFill>
              <a:effectLst/>
              <a:latin typeface="+mn-lt"/>
              <a:ea typeface="+mn-ea"/>
              <a:cs typeface="+mn-cs"/>
            </a:rPr>
            <a:t> </a:t>
          </a:r>
          <a:endParaRPr lang="ru-RU" sz="1100" b="1" i="0" baseline="0">
            <a:solidFill>
              <a:schemeClr val="dk1"/>
            </a:solidFill>
            <a:effectLst/>
            <a:latin typeface="+mn-lt"/>
            <a:ea typeface="+mn-ea"/>
            <a:cs typeface="+mn-cs"/>
          </a:endParaRPr>
        </a:p>
        <a:p>
          <a:pPr algn="just"/>
          <a:r>
            <a:rPr lang="ru-RU" sz="1100" b="0" i="0" baseline="0">
              <a:solidFill>
                <a:schemeClr val="dk1"/>
              </a:solidFill>
              <a:effectLst/>
              <a:latin typeface="+mn-lt"/>
              <a:ea typeface="+mn-ea"/>
              <a:cs typeface="+mn-cs"/>
            </a:rPr>
            <a:t>Правило формирования цены на комплекты с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С Базовый суммируется со стоимостью дополнительных модулей. Сертифицированный комплект для установки СЗИ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8.0-С</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на необходимое количество рабочих мест приобретается отдельно. </a:t>
          </a:r>
        </a:p>
        <a:p>
          <a:endParaRPr lang="ru-RU" sz="1100" b="1" i="0" baseline="0">
            <a:solidFill>
              <a:schemeClr val="dk1"/>
            </a:solidFill>
            <a:effectLst/>
            <a:latin typeface="+mn-lt"/>
            <a:ea typeface="+mn-ea"/>
            <a:cs typeface="+mn-cs"/>
          </a:endParaRPr>
        </a:p>
        <a:p>
          <a:r>
            <a:rPr lang="en-US" sz="1100" b="1" i="0" baseline="0">
              <a:solidFill>
                <a:schemeClr val="dk1"/>
              </a:solidFill>
              <a:effectLst/>
              <a:latin typeface="+mn-lt"/>
              <a:ea typeface="+mn-ea"/>
              <a:cs typeface="+mn-cs"/>
            </a:rPr>
            <a:t>Dallas Lock 8.0</a:t>
          </a:r>
          <a:r>
            <a:rPr lang="ru-RU" sz="1100" b="1" i="0" baseline="0">
              <a:solidFill>
                <a:schemeClr val="dk1"/>
              </a:solidFill>
              <a:effectLst/>
              <a:latin typeface="+mn-lt"/>
              <a:ea typeface="+mn-ea"/>
              <a:cs typeface="+mn-cs"/>
            </a:rPr>
            <a:t>-С</a:t>
          </a:r>
          <a:r>
            <a:rPr lang="en-US" sz="1100" b="1" i="0" baseline="0">
              <a:solidFill>
                <a:schemeClr val="dk1"/>
              </a:solidFill>
              <a:effectLst/>
              <a:latin typeface="+mn-lt"/>
              <a:ea typeface="+mn-ea"/>
              <a:cs typeface="+mn-cs"/>
            </a:rPr>
            <a:t>. </a:t>
          </a:r>
          <a:r>
            <a:rPr lang="ru-RU" sz="1100" b="1" i="0" baseline="0">
              <a:solidFill>
                <a:schemeClr val="dk1"/>
              </a:solidFill>
              <a:effectLst/>
              <a:latin typeface="+mn-lt"/>
              <a:ea typeface="+mn-ea"/>
              <a:cs typeface="+mn-cs"/>
            </a:rPr>
            <a:t>Сертифицированный комплект для установки</a:t>
          </a:r>
          <a:endParaRPr lang="ru-RU">
            <a:effectLst/>
          </a:endParaRPr>
        </a:p>
        <a:p>
          <a:pPr algn="just"/>
          <a:r>
            <a:rPr lang="ru-RU" sz="1100" b="0" i="0" baseline="0">
              <a:solidFill>
                <a:schemeClr val="dk1"/>
              </a:solidFill>
              <a:effectLst/>
              <a:latin typeface="+mn-lt"/>
              <a:ea typeface="+mn-ea"/>
              <a:cs typeface="+mn-cs"/>
            </a:rPr>
            <a:t>Компакт-диск с ПО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соответствующей версии) и документацией в электронном виде; формуляр; копия сертификата ФСТЭК России; краткое руководство.</a:t>
          </a:r>
          <a:endParaRPr lang="ru-RU">
            <a:effectLst/>
          </a:endParaRPr>
        </a:p>
        <a:p>
          <a:endParaRPr lang="ru-RU" sz="1100" b="1" i="0" baseline="0">
            <a:solidFill>
              <a:schemeClr val="dk1"/>
            </a:solidFill>
            <a:effectLst/>
            <a:latin typeface="+mn-lt"/>
            <a:ea typeface="+mn-ea"/>
            <a:cs typeface="+mn-cs"/>
          </a:endParaRPr>
        </a:p>
        <a:p>
          <a:r>
            <a:rPr lang="ru-RU" sz="1100" b="1" i="0" baseline="0">
              <a:solidFill>
                <a:schemeClr val="dk1"/>
              </a:solidFill>
              <a:effectLst/>
              <a:latin typeface="+mn-lt"/>
              <a:ea typeface="+mn-ea"/>
              <a:cs typeface="+mn-cs"/>
            </a:rPr>
            <a:t>Терминальное подключение для </a:t>
          </a:r>
          <a:r>
            <a:rPr lang="en-US" sz="1100" b="1" i="0" baseline="0">
              <a:solidFill>
                <a:schemeClr val="dk1"/>
              </a:solidFill>
              <a:effectLst/>
              <a:latin typeface="+mn-lt"/>
              <a:ea typeface="+mn-ea"/>
              <a:cs typeface="+mn-cs"/>
            </a:rPr>
            <a:t>Dallas Lock 8.0-C. </a:t>
          </a:r>
          <a:r>
            <a:rPr lang="ru-RU" sz="1100" b="1" i="0" baseline="0">
              <a:solidFill>
                <a:schemeClr val="dk1"/>
              </a:solidFill>
              <a:effectLst/>
              <a:latin typeface="+mn-lt"/>
              <a:ea typeface="+mn-ea"/>
              <a:cs typeface="+mn-cs"/>
            </a:rPr>
            <a:t>Право на использование</a:t>
          </a:r>
          <a:endParaRPr lang="ru-RU">
            <a:effectLst/>
          </a:endParaRPr>
        </a:p>
        <a:p>
          <a:pPr algn="just"/>
          <a:r>
            <a:rPr lang="ru-RU" sz="1100" b="0" i="0" baseline="0">
              <a:solidFill>
                <a:schemeClr val="dk1"/>
              </a:solidFill>
              <a:effectLst/>
              <a:latin typeface="+mn-lt"/>
              <a:ea typeface="+mn-ea"/>
              <a:cs typeface="+mn-cs"/>
            </a:rPr>
            <a:t>Комплект поставки: лицензионный </a:t>
          </a:r>
          <a:r>
            <a:rPr lang="en-US" sz="1100" b="0" i="0" baseline="0">
              <a:solidFill>
                <a:schemeClr val="dk1"/>
              </a:solidFill>
              <a:effectLst/>
              <a:latin typeface="+mn-lt"/>
              <a:ea typeface="+mn-ea"/>
              <a:cs typeface="+mn-cs"/>
            </a:rPr>
            <a:t>USB-</a:t>
          </a:r>
          <a:r>
            <a:rPr lang="ru-RU" sz="1100" b="0" i="0" baseline="0">
              <a:solidFill>
                <a:schemeClr val="dk1"/>
              </a:solidFill>
              <a:effectLst/>
              <a:latin typeface="+mn-lt"/>
              <a:ea typeface="+mn-ea"/>
              <a:cs typeface="+mn-cs"/>
            </a:rPr>
            <a:t>ключ с указанием максимального количества терминальных подключений.</a:t>
          </a:r>
          <a:endParaRPr lang="ru-RU">
            <a:effectLst/>
          </a:endParaRPr>
        </a:p>
        <a:p>
          <a:pPr algn="just"/>
          <a:endParaRPr lang="ru-RU" sz="1100" b="0" i="0" u="none" strike="noStrike" baseline="0">
            <a:solidFill>
              <a:schemeClr val="dk1"/>
            </a:solidFill>
            <a:latin typeface="Arial" panose="020B0604020202020204" pitchFamily="34" charset="0"/>
            <a:ea typeface="+mn-ea"/>
            <a:cs typeface="Arial" panose="020B0604020202020204" pitchFamily="34" charset="0"/>
          </a:endParaRPr>
        </a:p>
        <a:p>
          <a:r>
            <a:rPr lang="ru-RU" sz="1100" b="1" i="0" baseline="0">
              <a:solidFill>
                <a:schemeClr val="dk1"/>
              </a:solidFill>
              <a:effectLst/>
              <a:latin typeface="+mn-lt"/>
              <a:ea typeface="+mn-ea"/>
              <a:cs typeface="+mn-cs"/>
            </a:rPr>
            <a:t>Техническая поддержка</a:t>
          </a:r>
          <a:endParaRPr lang="ru-R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endParaRPr lang="ru-RU" sz="1100" b="0" i="0" u="none" strike="noStrike" baseline="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4</xdr:col>
      <xdr:colOff>57711</xdr:colOff>
      <xdr:row>37</xdr:row>
      <xdr:rowOff>9524</xdr:rowOff>
    </xdr:from>
    <xdr:to>
      <xdr:col>15</xdr:col>
      <xdr:colOff>57711</xdr:colOff>
      <xdr:row>75</xdr:row>
      <xdr:rowOff>139514</xdr:rowOff>
    </xdr:to>
    <xdr:sp macro="" textlink="">
      <xdr:nvSpPr>
        <xdr:cNvPr id="4" name="TextBox 3">
          <a:extLst>
            <a:ext uri="{FF2B5EF4-FFF2-40B4-BE49-F238E27FC236}">
              <a16:creationId xmlns:a16="http://schemas.microsoft.com/office/drawing/2014/main" xmlns="" id="{00000000-0008-0000-0600-000004000000}"/>
            </a:ext>
          </a:extLst>
        </xdr:cNvPr>
        <xdr:cNvSpPr txBox="1"/>
      </xdr:nvSpPr>
      <xdr:spPr>
        <a:xfrm>
          <a:off x="5991786" y="11477624"/>
          <a:ext cx="6515100" cy="7368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en-US" sz="1100" b="0" i="0">
              <a:solidFill>
                <a:schemeClr val="dk1"/>
              </a:solidFill>
              <a:effectLst/>
              <a:latin typeface="+mn-lt"/>
              <a:ea typeface="+mn-ea"/>
              <a:cs typeface="+mn-cs"/>
            </a:rPr>
            <a:t>.</a:t>
          </a:r>
          <a:endParaRPr lang="ru-RU" sz="1100" b="0" i="0" baseline="0">
            <a:solidFill>
              <a:schemeClr val="dk1"/>
            </a:solidFill>
            <a:effectLst/>
            <a:latin typeface="+mn-lt"/>
            <a:ea typeface="+mn-ea"/>
            <a:cs typeface="+mn-cs"/>
          </a:endParaRPr>
        </a:p>
        <a:p>
          <a:pPr algn="just"/>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p>
        <a:p>
          <a:pPr algn="just"/>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p>
        <a:p>
          <a:pPr algn="just"/>
          <a:endParaRPr lang="ru-RU">
            <a:effectLst/>
          </a:endParaRPr>
        </a:p>
        <a:p>
          <a:pPr algn="l"/>
          <a:r>
            <a:rPr lang="ru-RU" sz="1100" b="1" i="0" baseline="0">
              <a:solidFill>
                <a:schemeClr val="dk1"/>
              </a:solidFill>
              <a:effectLst/>
              <a:latin typeface="+mn-lt"/>
              <a:ea typeface="+mn-ea"/>
              <a:cs typeface="+mn-cs"/>
            </a:rPr>
            <a:t>Комментарии</a:t>
          </a:r>
          <a:endParaRPr lang="ru-RU">
            <a:effectLst/>
          </a:endParaRPr>
        </a:p>
        <a:p>
          <a:pPr algn="just"/>
          <a:r>
            <a:rPr lang="ru-RU" sz="1100" b="0" i="0" baseline="0">
              <a:solidFill>
                <a:schemeClr val="dk1"/>
              </a:solidFill>
              <a:effectLst/>
              <a:latin typeface="+mn-lt"/>
              <a:ea typeface="+mn-ea"/>
              <a:cs typeface="+mn-cs"/>
            </a:rPr>
            <a:t>• Для пользователей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 с действующей технической поддержкой бесплатно продлевается техническая поддержка на 1 год с момента приобретения модуля «Межсетевой экран» (в том числе совместно с модулем «Система обнаружения и предотвращения вторжений»). Срок действия акции ограничен.</a:t>
          </a:r>
          <a:endParaRPr lang="ru-RU">
            <a:effectLst/>
          </a:endParaRPr>
        </a:p>
        <a:p>
          <a:pPr algn="just"/>
          <a:r>
            <a:rPr lang="ru-RU" sz="1100" b="0" i="0" baseline="0">
              <a:solidFill>
                <a:schemeClr val="dk1"/>
              </a:solidFill>
              <a:effectLst/>
              <a:latin typeface="+mn-lt"/>
              <a:ea typeface="+mn-ea"/>
              <a:cs typeface="+mn-cs"/>
            </a:rPr>
            <a:t>• Для пользователей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 с прерванной технической поддержкой бесплатно возобновляется техническая поддержка СЗИ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8.0-С с любым истекшим сроком действия при приобретении модуля «Межсетевой экран» (в том числе с модулем «Система обнаружения и предотвращения вторжений») и оплате 1 года технического сопровождения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 Срок действия акции ограничен.</a:t>
          </a:r>
          <a:endParaRPr lang="ru-RU">
            <a:effectLst/>
          </a:endParaRPr>
        </a:p>
        <a:p>
          <a:pPr algn="just"/>
          <a:r>
            <a:rPr lang="ru-RU" sz="1100" b="0" i="0" baseline="0">
              <a:solidFill>
                <a:schemeClr val="dk1"/>
              </a:solidFill>
              <a:effectLst/>
              <a:latin typeface="+mn-lt"/>
              <a:ea typeface="+mn-ea"/>
              <a:cs typeface="+mn-cs"/>
            </a:rPr>
            <a:t>• СЗИ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 совместима с различными моделями электронных ключей и смарт-карт </a:t>
          </a:r>
          <a:r>
            <a:rPr lang="en-US" sz="1100" b="0" i="0" baseline="0">
              <a:solidFill>
                <a:schemeClr val="dk1"/>
              </a:solidFill>
              <a:effectLst/>
              <a:latin typeface="+mn-lt"/>
              <a:ea typeface="+mn-ea"/>
              <a:cs typeface="+mn-cs"/>
            </a:rPr>
            <a:t>JaCarta </a:t>
          </a:r>
          <a:r>
            <a:rPr lang="ru-RU" sz="1100" b="0" i="0" baseline="0">
              <a:solidFill>
                <a:schemeClr val="dk1"/>
              </a:solidFill>
              <a:effectLst/>
              <a:latin typeface="+mn-lt"/>
              <a:ea typeface="+mn-ea"/>
              <a:cs typeface="+mn-cs"/>
            </a:rPr>
            <a:t>и </a:t>
          </a:r>
          <a:r>
            <a:rPr lang="en-US" sz="1100" b="0" i="0" baseline="0">
              <a:solidFill>
                <a:schemeClr val="dk1"/>
              </a:solidFill>
              <a:effectLst/>
              <a:latin typeface="+mn-lt"/>
              <a:ea typeface="+mn-ea"/>
              <a:cs typeface="+mn-cs"/>
            </a:rPr>
            <a:t>eToken, </a:t>
          </a:r>
          <a:r>
            <a:rPr lang="ru-RU" sz="1100" b="0" i="0" baseline="0">
              <a:solidFill>
                <a:schemeClr val="dk1"/>
              </a:solidFill>
              <a:effectLst/>
              <a:latin typeface="+mn-lt"/>
              <a:ea typeface="+mn-ea"/>
              <a:cs typeface="+mn-cs"/>
            </a:rPr>
            <a:t>Рутокен, </a:t>
          </a:r>
          <a:r>
            <a:rPr lang="en-US" sz="1100" b="0" i="0" baseline="0">
              <a:solidFill>
                <a:schemeClr val="dk1"/>
              </a:solidFill>
              <a:effectLst/>
              <a:latin typeface="+mn-lt"/>
              <a:ea typeface="+mn-ea"/>
              <a:cs typeface="+mn-cs"/>
            </a:rPr>
            <a:t>eSmart, </a:t>
          </a:r>
          <a:r>
            <a:rPr lang="ru-RU" sz="1100" b="0" i="0" baseline="0">
              <a:solidFill>
                <a:schemeClr val="dk1"/>
              </a:solidFill>
              <a:effectLst/>
              <a:latin typeface="+mn-lt"/>
              <a:ea typeface="+mn-ea"/>
              <a:cs typeface="+mn-cs"/>
            </a:rPr>
            <a:t>электронными ключами </a:t>
          </a:r>
          <a:r>
            <a:rPr lang="en-US" sz="1100" b="0" i="0" baseline="0">
              <a:solidFill>
                <a:schemeClr val="dk1"/>
              </a:solidFill>
              <a:effectLst/>
              <a:latin typeface="+mn-lt"/>
              <a:ea typeface="+mn-ea"/>
              <a:cs typeface="+mn-cs"/>
            </a:rPr>
            <a:t>Touch Memory (iButton), </a:t>
          </a:r>
          <a:r>
            <a:rPr lang="ru-RU" sz="1100" b="0" i="0" baseline="0">
              <a:solidFill>
                <a:schemeClr val="dk1"/>
              </a:solidFill>
              <a:effectLst/>
              <a:latin typeface="+mn-lt"/>
              <a:ea typeface="+mn-ea"/>
              <a:cs typeface="+mn-cs"/>
            </a:rPr>
            <a:t>картами </a:t>
          </a:r>
          <a:r>
            <a:rPr lang="en-US" sz="1100" b="0" i="0" baseline="0">
              <a:solidFill>
                <a:schemeClr val="dk1"/>
              </a:solidFill>
              <a:effectLst/>
              <a:latin typeface="+mn-lt"/>
              <a:ea typeface="+mn-ea"/>
              <a:cs typeface="+mn-cs"/>
            </a:rPr>
            <a:t>HID Proximity, </a:t>
          </a:r>
          <a:r>
            <a:rPr lang="ru-RU" sz="1100" b="0" i="0" baseline="0">
              <a:solidFill>
                <a:schemeClr val="dk1"/>
              </a:solidFill>
              <a:effectLst/>
              <a:latin typeface="+mn-lt"/>
              <a:ea typeface="+mn-ea"/>
              <a:cs typeface="+mn-cs"/>
            </a:rPr>
            <a:t>а также с программными решениями различных производителей.</a:t>
          </a:r>
          <a:endParaRPr lang="en-US" sz="1100" b="0" i="0" baseline="0">
            <a:solidFill>
              <a:schemeClr val="dk1"/>
            </a:solidFill>
            <a:effectLst/>
            <a:latin typeface="+mn-lt"/>
            <a:ea typeface="+mn-ea"/>
            <a:cs typeface="+mn-cs"/>
          </a:endParaRPr>
        </a:p>
        <a:p>
          <a:pPr algn="just"/>
          <a:r>
            <a:rPr lang="ru-RU" sz="1100" b="0" i="0" baseline="0">
              <a:solidFill>
                <a:schemeClr val="dk1"/>
              </a:solidFill>
              <a:effectLst/>
              <a:latin typeface="+mn-lt"/>
              <a:ea typeface="+mn-ea"/>
              <a:cs typeface="+mn-cs"/>
            </a:rPr>
            <a:t>• Сертифицированная</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 функциональность модуля «СКН уровня отчуждения (переноса) информации» для </a:t>
          </a:r>
          <a:r>
            <a:rPr lang="en-US" sz="1100" b="0" i="0" baseline="0">
              <a:solidFill>
                <a:schemeClr val="dk1"/>
              </a:solidFill>
              <a:effectLst/>
              <a:latin typeface="+mn-lt"/>
              <a:ea typeface="+mn-ea"/>
              <a:cs typeface="+mn-cs"/>
            </a:rPr>
            <a:t>Dallas Lock 8.0-</a:t>
          </a:r>
          <a:r>
            <a:rPr lang="ru-RU" sz="1100" b="0" i="0" baseline="0">
              <a:solidFill>
                <a:schemeClr val="dk1"/>
              </a:solidFill>
              <a:effectLst/>
              <a:latin typeface="+mn-lt"/>
              <a:ea typeface="+mn-ea"/>
              <a:cs typeface="+mn-cs"/>
            </a:rPr>
            <a:t>С доступна только совместно с аппаратным идентификатором Рутокен ЭЦП 2.0 </a:t>
          </a:r>
          <a:r>
            <a:rPr lang="en-US" sz="1100" b="0" i="0" baseline="0">
              <a:solidFill>
                <a:schemeClr val="dk1"/>
              </a:solidFill>
              <a:effectLst/>
              <a:latin typeface="+mn-lt"/>
              <a:ea typeface="+mn-ea"/>
              <a:cs typeface="+mn-cs"/>
            </a:rPr>
            <a:t>Flash (</a:t>
          </a:r>
          <a:r>
            <a:rPr lang="ru-RU" sz="1100" b="0" i="0" baseline="0">
              <a:solidFill>
                <a:schemeClr val="dk1"/>
              </a:solidFill>
              <a:effectLst/>
              <a:latin typeface="+mn-lt"/>
              <a:ea typeface="+mn-ea"/>
              <a:cs typeface="+mn-cs"/>
            </a:rPr>
            <a:t>приобретается отдельно</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a:t>
          </a:r>
          <a:endParaRPr lang="ru-RU" sz="1100">
            <a:latin typeface="Arial" panose="020B0604020202020204" pitchFamily="34" charset="0"/>
            <a:cs typeface="Arial" panose="020B0604020202020204" pitchFamily="34" charset="0"/>
          </a:endParaRPr>
        </a:p>
      </xdr:txBody>
    </xdr:sp>
    <xdr:clientData/>
  </xdr:twoCellAnchor>
  <xdr:twoCellAnchor>
    <xdr:from>
      <xdr:col>2</xdr:col>
      <xdr:colOff>28575</xdr:colOff>
      <xdr:row>72</xdr:row>
      <xdr:rowOff>150795</xdr:rowOff>
    </xdr:from>
    <xdr:to>
      <xdr:col>14</xdr:col>
      <xdr:colOff>28575</xdr:colOff>
      <xdr:row>79</xdr:row>
      <xdr:rowOff>69159</xdr:rowOff>
    </xdr:to>
    <xdr:grpSp>
      <xdr:nvGrpSpPr>
        <xdr:cNvPr id="5" name="Группа 4">
          <a:extLst>
            <a:ext uri="{FF2B5EF4-FFF2-40B4-BE49-F238E27FC236}">
              <a16:creationId xmlns:a16="http://schemas.microsoft.com/office/drawing/2014/main" xmlns="" id="{00000000-0008-0000-0600-000005000000}"/>
            </a:ext>
          </a:extLst>
        </xdr:cNvPr>
        <xdr:cNvGrpSpPr/>
      </xdr:nvGrpSpPr>
      <xdr:grpSpPr>
        <a:xfrm>
          <a:off x="200025" y="17829195"/>
          <a:ext cx="12192000" cy="1251864"/>
          <a:chOff x="9525" y="13325471"/>
          <a:chExt cx="12372975" cy="1066805"/>
        </a:xfrm>
      </xdr:grpSpPr>
      <xdr:sp macro="" textlink="">
        <xdr:nvSpPr>
          <xdr:cNvPr id="6" name="TextBox 5">
            <a:extLst>
              <a:ext uri="{FF2B5EF4-FFF2-40B4-BE49-F238E27FC236}">
                <a16:creationId xmlns:a16="http://schemas.microsoft.com/office/drawing/2014/main" xmlns="" id="{00000000-0008-0000-0600-000006000000}"/>
              </a:ext>
            </a:extLst>
          </xdr:cNvPr>
          <xdr:cNvSpPr txBox="1"/>
        </xdr:nvSpPr>
        <xdr:spPr>
          <a:xfrm>
            <a:off x="9525" y="13363576"/>
            <a:ext cx="1237297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 «x» – </a:t>
            </a:r>
            <a:r>
              <a:rPr lang="ru-RU" sz="1100" b="0" i="0" baseline="0">
                <a:solidFill>
                  <a:schemeClr val="dk1"/>
                </a:solidFill>
                <a:effectLst/>
                <a:latin typeface="+mn-lt"/>
                <a:ea typeface="+mn-ea"/>
                <a:cs typeface="+mn-cs"/>
              </a:rPr>
              <a:t>диапазон приобретаемых лицензий по количеству рабочих станций, серверов; «</a:t>
            </a:r>
            <a:r>
              <a:rPr lang="en-US" sz="1100" b="0" i="0" baseline="0">
                <a:solidFill>
                  <a:schemeClr val="dk1"/>
                </a:solidFill>
                <a:effectLst/>
                <a:latin typeface="+mn-lt"/>
                <a:ea typeface="+mn-ea"/>
                <a:cs typeface="+mn-cs"/>
              </a:rPr>
              <a:t>y» – </a:t>
            </a:r>
            <a:r>
              <a:rPr lang="ru-RU" sz="1100" b="0" i="0" baseline="0">
                <a:solidFill>
                  <a:schemeClr val="dk1"/>
                </a:solidFill>
                <a:effectLst/>
                <a:latin typeface="+mn-lt"/>
                <a:ea typeface="+mn-ea"/>
                <a:cs typeface="+mn-cs"/>
              </a:rPr>
              <a:t>тип системы сертификации: </a:t>
            </a:r>
            <a:r>
              <a:rPr lang="en-US" sz="1100" b="0" i="0" baseline="0">
                <a:solidFill>
                  <a:schemeClr val="dk1"/>
                </a:solidFill>
                <a:effectLst/>
                <a:latin typeface="+mn-lt"/>
                <a:ea typeface="+mn-ea"/>
                <a:cs typeface="+mn-cs"/>
              </a:rPr>
              <a:t>FSTEC (</a:t>
            </a:r>
            <a:r>
              <a:rPr lang="ru-RU" sz="1100" b="0" i="0" baseline="0">
                <a:solidFill>
                  <a:schemeClr val="dk1"/>
                </a:solidFill>
                <a:effectLst/>
                <a:latin typeface="+mn-lt"/>
                <a:ea typeface="+mn-ea"/>
                <a:cs typeface="+mn-cs"/>
              </a:rPr>
              <a:t>ФСТЭК России), </a:t>
            </a:r>
            <a:r>
              <a:rPr lang="en-US" sz="1100" b="0" i="0" baseline="0">
                <a:solidFill>
                  <a:schemeClr val="dk1"/>
                </a:solidFill>
                <a:effectLst/>
                <a:latin typeface="+mn-lt"/>
                <a:ea typeface="+mn-ea"/>
                <a:cs typeface="+mn-cs"/>
              </a:rPr>
              <a:t>MO (</a:t>
            </a:r>
            <a:r>
              <a:rPr lang="ru-RU" sz="1100" b="0" i="0" baseline="0">
                <a:solidFill>
                  <a:schemeClr val="dk1"/>
                </a:solidFill>
                <a:effectLst/>
                <a:latin typeface="+mn-lt"/>
                <a:ea typeface="+mn-ea"/>
                <a:cs typeface="+mn-cs"/>
              </a:rPr>
              <a:t>Минобороны России);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p>
          <a:p>
            <a:r>
              <a:rPr lang="ru-RU" sz="1100" b="0" i="0" baseline="0">
                <a:solidFill>
                  <a:schemeClr val="dk1"/>
                </a:solidFill>
                <a:effectLst/>
                <a:latin typeface="+mn-lt"/>
                <a:ea typeface="+mn-ea"/>
                <a:cs typeface="+mn-cs"/>
              </a:rPr>
              <a:t>** На основании статьи № 149 п. 2 пп. 26 НК РФ стоимость передаваемых неисключительных прав на используемое программное обеспечение не облагается НДС.</a:t>
            </a:r>
          </a:p>
          <a:p>
            <a:r>
              <a:rPr lang="ru-RU" sz="1100" b="0" i="0" baseline="0">
                <a:solidFill>
                  <a:schemeClr val="dk1"/>
                </a:solidFill>
                <a:effectLst/>
                <a:latin typeface="+mn-lt"/>
                <a:ea typeface="+mn-ea"/>
                <a:cs typeface="+mn-cs"/>
              </a:rPr>
              <a:t>*** В стоимость входит НДС 20%.</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Поддержка функциональности реализована. Доступно после окончания процедуры инспекционного контроля сертифицированного изделия.</a:t>
            </a:r>
          </a:p>
        </xdr:txBody>
      </xdr:sp>
      <xdr:cxnSp macro="">
        <xdr:nvCxnSpPr>
          <xdr:cNvPr id="7" name="Прямая соединительная линия 6">
            <a:extLst>
              <a:ext uri="{FF2B5EF4-FFF2-40B4-BE49-F238E27FC236}">
                <a16:creationId xmlns:a16="http://schemas.microsoft.com/office/drawing/2014/main" xmlns="" id="{00000000-0008-0000-0600-000007000000}"/>
              </a:ext>
            </a:extLst>
          </xdr:cNvPr>
          <xdr:cNvCxnSpPr/>
        </xdr:nvCxnSpPr>
        <xdr:spPr>
          <a:xfrm>
            <a:off x="76200" y="13325471"/>
            <a:ext cx="12188742"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2</xdr:col>
      <xdr:colOff>89147</xdr:colOff>
      <xdr:row>78</xdr:row>
      <xdr:rowOff>160322</xdr:rowOff>
    </xdr:from>
    <xdr:to>
      <xdr:col>12</xdr:col>
      <xdr:colOff>271684</xdr:colOff>
      <xdr:row>81</xdr:row>
      <xdr:rowOff>76812</xdr:rowOff>
    </xdr:to>
    <xdr:pic>
      <xdr:nvPicPr>
        <xdr:cNvPr id="8" name="Рисунок 7">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597" y="18981722"/>
          <a:ext cx="11583962" cy="4879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85725</xdr:colOff>
          <xdr:row>10</xdr:row>
          <xdr:rowOff>47625</xdr:rowOff>
        </xdr:from>
        <xdr:to>
          <xdr:col>2</xdr:col>
          <xdr:colOff>276225</xdr:colOff>
          <xdr:row>10</xdr:row>
          <xdr:rowOff>428625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xmlns=""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47625</xdr:rowOff>
        </xdr:from>
        <xdr:to>
          <xdr:col>2</xdr:col>
          <xdr:colOff>276225</xdr:colOff>
          <xdr:row>11</xdr:row>
          <xdr:rowOff>428625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xmlns=""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13</xdr:row>
          <xdr:rowOff>66675</xdr:rowOff>
        </xdr:from>
        <xdr:to>
          <xdr:col>2</xdr:col>
          <xdr:colOff>276225</xdr:colOff>
          <xdr:row>13</xdr:row>
          <xdr:rowOff>447675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xmlns=""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14</xdr:row>
          <xdr:rowOff>66675</xdr:rowOff>
        </xdr:from>
        <xdr:to>
          <xdr:col>2</xdr:col>
          <xdr:colOff>276225</xdr:colOff>
          <xdr:row>14</xdr:row>
          <xdr:rowOff>447675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xmlns=""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3762375</xdr:colOff>
          <xdr:row>6</xdr:row>
          <xdr:rowOff>95250</xdr:rowOff>
        </xdr:from>
        <xdr:to>
          <xdr:col>4</xdr:col>
          <xdr:colOff>57150</xdr:colOff>
          <xdr:row>8</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xmlns=""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66675</xdr:rowOff>
        </xdr:from>
        <xdr:to>
          <xdr:col>2</xdr:col>
          <xdr:colOff>276225</xdr:colOff>
          <xdr:row>12</xdr:row>
          <xdr:rowOff>447675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xmlns=""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420781</xdr:colOff>
      <xdr:row>2</xdr:row>
      <xdr:rowOff>123265</xdr:rowOff>
    </xdr:from>
    <xdr:to>
      <xdr:col>5</xdr:col>
      <xdr:colOff>606540</xdr:colOff>
      <xdr:row>2</xdr:row>
      <xdr:rowOff>309024</xdr:rowOff>
    </xdr:to>
    <xdr:pic>
      <xdr:nvPicPr>
        <xdr:cNvPr id="16" name="Рисунок 15">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059706" y="1399615"/>
          <a:ext cx="185759" cy="185759"/>
        </a:xfrm>
        <a:prstGeom prst="rect">
          <a:avLst/>
        </a:prstGeom>
      </xdr:spPr>
    </xdr:pic>
    <xdr:clientData/>
  </xdr:twoCellAnchor>
  <xdr:twoCellAnchor>
    <xdr:from>
      <xdr:col>0</xdr:col>
      <xdr:colOff>0</xdr:colOff>
      <xdr:row>2</xdr:row>
      <xdr:rowOff>0</xdr:rowOff>
    </xdr:from>
    <xdr:to>
      <xdr:col>14</xdr:col>
      <xdr:colOff>66675</xdr:colOff>
      <xdr:row>3</xdr:row>
      <xdr:rowOff>28575</xdr:rowOff>
    </xdr:to>
    <xdr:sp macro="" textlink="">
      <xdr:nvSpPr>
        <xdr:cNvPr id="17" name="Прямоугольник 16">
          <a:hlinkClick xmlns:r="http://schemas.openxmlformats.org/officeDocument/2006/relationships" r:id="rId3"/>
          <a:extLst>
            <a:ext uri="{FF2B5EF4-FFF2-40B4-BE49-F238E27FC236}">
              <a16:creationId xmlns:a16="http://schemas.microsoft.com/office/drawing/2014/main" xmlns="" id="{00000000-0008-0000-0600-000011000000}"/>
            </a:ext>
          </a:extLst>
        </xdr:cNvPr>
        <xdr:cNvSpPr/>
      </xdr:nvSpPr>
      <xdr:spPr>
        <a:xfrm>
          <a:off x="0" y="1276350"/>
          <a:ext cx="1243012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0</xdr:col>
      <xdr:colOff>0</xdr:colOff>
      <xdr:row>0</xdr:row>
      <xdr:rowOff>0</xdr:rowOff>
    </xdr:from>
    <xdr:to>
      <xdr:col>12</xdr:col>
      <xdr:colOff>603436</xdr:colOff>
      <xdr:row>1</xdr:row>
      <xdr:rowOff>1081945</xdr:rowOff>
    </xdr:to>
    <xdr:pic>
      <xdr:nvPicPr>
        <xdr:cNvPr id="18" name="Рисунок 17">
          <a:hlinkClick xmlns:r="http://schemas.openxmlformats.org/officeDocument/2006/relationships" r:id="rId4"/>
          <a:extLst>
            <a:ext uri="{FF2B5EF4-FFF2-40B4-BE49-F238E27FC236}">
              <a16:creationId xmlns:a16="http://schemas.microsoft.com/office/drawing/2014/main" xmlns="" id="{00000000-0008-0000-0600-000012000000}"/>
            </a:ext>
          </a:extLst>
        </xdr:cNvPr>
        <xdr:cNvPicPr>
          <a:picLocks noChangeAspect="1"/>
        </xdr:cNvPicPr>
      </xdr:nvPicPr>
      <xdr:blipFill>
        <a:blip xmlns:r="http://schemas.openxmlformats.org/officeDocument/2006/relationships" r:embed="rId5"/>
        <a:stretch>
          <a:fillRect/>
        </a:stretch>
      </xdr:blipFill>
      <xdr:spPr>
        <a:xfrm>
          <a:off x="0" y="0"/>
          <a:ext cx="12201524" cy="1272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533400</xdr:colOff>
          <xdr:row>6</xdr:row>
          <xdr:rowOff>95250</xdr:rowOff>
        </xdr:from>
        <xdr:to>
          <xdr:col>12</xdr:col>
          <xdr:colOff>76200</xdr:colOff>
          <xdr:row>8</xdr:row>
          <xdr:rowOff>19050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xmlns=""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32</xdr:row>
      <xdr:rowOff>140756</xdr:rowOff>
    </xdr:from>
    <xdr:to>
      <xdr:col>15</xdr:col>
      <xdr:colOff>10582</xdr:colOff>
      <xdr:row>35</xdr:row>
      <xdr:rowOff>109116</xdr:rowOff>
    </xdr:to>
    <xdr:pic>
      <xdr:nvPicPr>
        <xdr:cNvPr id="11" name="Рисунок 10">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0656356"/>
          <a:ext cx="12459757" cy="539860"/>
        </a:xfrm>
        <a:prstGeom prst="rect">
          <a:avLst/>
        </a:prstGeom>
      </xdr:spPr>
    </xdr:pic>
    <xdr:clientData/>
  </xdr:twoCellAnchor>
  <xdr:twoCellAnchor>
    <xdr:from>
      <xdr:col>0</xdr:col>
      <xdr:colOff>74084</xdr:colOff>
      <xdr:row>31</xdr:row>
      <xdr:rowOff>2118</xdr:rowOff>
    </xdr:from>
    <xdr:to>
      <xdr:col>4</xdr:col>
      <xdr:colOff>116416</xdr:colOff>
      <xdr:row>32</xdr:row>
      <xdr:rowOff>66675</xdr:rowOff>
    </xdr:to>
    <xdr:sp macro="" textlink="">
      <xdr:nvSpPr>
        <xdr:cNvPr id="9" name="Прямоугольник 8">
          <a:hlinkClick xmlns:r="http://schemas.openxmlformats.org/officeDocument/2006/relationships" r:id="rId7"/>
          <a:extLst>
            <a:ext uri="{FF2B5EF4-FFF2-40B4-BE49-F238E27FC236}">
              <a16:creationId xmlns:a16="http://schemas.microsoft.com/office/drawing/2014/main" xmlns="" id="{00000000-0008-0000-0600-000009000000}"/>
            </a:ext>
          </a:extLst>
        </xdr:cNvPr>
        <xdr:cNvSpPr/>
      </xdr:nvSpPr>
      <xdr:spPr>
        <a:xfrm>
          <a:off x="74084" y="10393893"/>
          <a:ext cx="5976407" cy="26458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latin typeface="+mn-lt"/>
              <a:cs typeface="Arial" panose="020B0604020202020204" pitchFamily="34" charset="0"/>
            </a:rPr>
            <a:t>*</a:t>
          </a:r>
          <a:r>
            <a:rPr lang="ru-RU" sz="1100" b="1">
              <a:latin typeface="+mn-lt"/>
              <a:cs typeface="Arial" panose="020B0604020202020204" pitchFamily="34" charset="0"/>
            </a:rPr>
            <a:t>БОЛЕЕ ПОЛНЫЙ СПИСОК ВАРИАНТОВ ЕЦУ ВО ВКЛАДКЕ ЕЦУ</a:t>
          </a:r>
          <a:r>
            <a:rPr lang="ru-RU" sz="1100" b="1" baseline="0">
              <a:latin typeface="+mn-lt"/>
              <a:cs typeface="Arial" panose="020B0604020202020204" pitchFamily="34" charset="0"/>
            </a:rPr>
            <a:t> </a:t>
          </a:r>
          <a:r>
            <a:rPr lang="en-US" sz="1100" b="1" baseline="0">
              <a:latin typeface="+mn-lt"/>
              <a:cs typeface="Arial" panose="020B0604020202020204" pitchFamily="34" charset="0"/>
            </a:rPr>
            <a:t>DALLAS LOCK      </a:t>
          </a:r>
          <a:r>
            <a:rPr lang="en-US" sz="1100" b="1">
              <a:latin typeface="+mn-lt"/>
              <a:cs typeface="Arial" panose="020B0604020202020204" pitchFamily="34" charset="0"/>
            </a:rPr>
            <a:t>&gt;&gt;</a:t>
          </a:r>
          <a:endParaRPr lang="ru-RU" sz="1100" b="1">
            <a:latin typeface="+mn-lt"/>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3714750</xdr:colOff>
          <xdr:row>28</xdr:row>
          <xdr:rowOff>161925</xdr:rowOff>
        </xdr:from>
        <xdr:to>
          <xdr:col>4</xdr:col>
          <xdr:colOff>9525</xdr:colOff>
          <xdr:row>30</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xmlns=""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485775</xdr:colOff>
          <xdr:row>28</xdr:row>
          <xdr:rowOff>161925</xdr:rowOff>
        </xdr:from>
        <xdr:to>
          <xdr:col>12</xdr:col>
          <xdr:colOff>28575</xdr:colOff>
          <xdr:row>30</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xmlns=""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3752850</xdr:colOff>
          <xdr:row>5</xdr:row>
          <xdr:rowOff>85725</xdr:rowOff>
        </xdr:from>
        <xdr:to>
          <xdr:col>3</xdr:col>
          <xdr:colOff>0</xdr:colOff>
          <xdr:row>7</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xmlns="" id="{00000000-0008-0000-07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12</xdr:col>
      <xdr:colOff>73173</xdr:colOff>
      <xdr:row>2</xdr:row>
      <xdr:rowOff>3715</xdr:rowOff>
    </xdr:to>
    <xdr:pic>
      <xdr:nvPicPr>
        <xdr:cNvPr id="6" name="Рисунок 5">
          <a:hlinkClick xmlns:r="http://schemas.openxmlformats.org/officeDocument/2006/relationships" r:id="rId1"/>
          <a:extLst>
            <a:ext uri="{FF2B5EF4-FFF2-40B4-BE49-F238E27FC236}">
              <a16:creationId xmlns:a16="http://schemas.microsoft.com/office/drawing/2014/main" xmlns="" id="{00000000-0008-0000-0700-000006000000}"/>
            </a:ext>
          </a:extLst>
        </xdr:cNvPr>
        <xdr:cNvPicPr>
          <a:picLocks noChangeAspect="1"/>
        </xdr:cNvPicPr>
      </xdr:nvPicPr>
      <xdr:blipFill>
        <a:blip xmlns:r="http://schemas.openxmlformats.org/officeDocument/2006/relationships" r:embed="rId2"/>
        <a:stretch>
          <a:fillRect/>
        </a:stretch>
      </xdr:blipFill>
      <xdr:spPr>
        <a:xfrm>
          <a:off x="0" y="0"/>
          <a:ext cx="12181353" cy="12724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533400</xdr:colOff>
          <xdr:row>5</xdr:row>
          <xdr:rowOff>95250</xdr:rowOff>
        </xdr:from>
        <xdr:to>
          <xdr:col>11</xdr:col>
          <xdr:colOff>76200</xdr:colOff>
          <xdr:row>7</xdr:row>
          <xdr:rowOff>9525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xmlns="" id="{00000000-0008-0000-07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31</xdr:row>
      <xdr:rowOff>130550</xdr:rowOff>
    </xdr:from>
    <xdr:to>
      <xdr:col>2</xdr:col>
      <xdr:colOff>3662654</xdr:colOff>
      <xdr:row>57</xdr:row>
      <xdr:rowOff>121244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95250" y="10379450"/>
          <a:ext cx="5377154" cy="4943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Единый центр управления </a:t>
          </a:r>
          <a:r>
            <a:rPr lang="en-US" sz="1100" b="1" i="0" u="none" strike="noStrike" baseline="0">
              <a:solidFill>
                <a:schemeClr val="dk1"/>
              </a:solidFill>
              <a:latin typeface="+mn-lt"/>
              <a:ea typeface="+mn-ea"/>
              <a:cs typeface="Arial" panose="020B0604020202020204" pitchFamily="34" charset="0"/>
            </a:rPr>
            <a:t>Dallas Lock. </a:t>
          </a:r>
          <a:r>
            <a:rPr lang="ru-RU" sz="1100" b="1" i="0" u="none" strike="noStrike" baseline="0">
              <a:solidFill>
                <a:schemeClr val="dk1"/>
              </a:solidFill>
              <a:latin typeface="+mn-lt"/>
              <a:ea typeface="+mn-ea"/>
              <a:cs typeface="Arial" panose="020B0604020202020204" pitchFamily="34" charset="0"/>
            </a:rPr>
            <a:t>Право на использование</a:t>
          </a:r>
        </a:p>
        <a:p>
          <a:r>
            <a:rPr lang="ru-RU" sz="1100" b="0" i="0" u="none" strike="noStrike" baseline="0">
              <a:solidFill>
                <a:schemeClr val="dk1"/>
              </a:solidFill>
              <a:latin typeface="+mn-lt"/>
              <a:ea typeface="+mn-ea"/>
              <a:cs typeface="+mn-cs"/>
            </a:rPr>
            <a:t>ЕЦУ </a:t>
          </a:r>
          <a:r>
            <a:rPr lang="en-US" sz="1100" b="0" i="0" u="none" strike="noStrike" baseline="0">
              <a:solidFill>
                <a:schemeClr val="dk1"/>
              </a:solidFill>
              <a:latin typeface="+mn-lt"/>
              <a:ea typeface="+mn-ea"/>
              <a:cs typeface="+mn-cs"/>
            </a:rPr>
            <a:t>Dallas Lock — </a:t>
          </a:r>
          <a:r>
            <a:rPr lang="ru-RU" sz="1100" b="0" i="0" u="none" strike="noStrike" baseline="0">
              <a:solidFill>
                <a:schemeClr val="dk1"/>
              </a:solidFill>
              <a:latin typeface="+mn-lt"/>
              <a:ea typeface="+mn-ea"/>
              <a:cs typeface="+mn-cs"/>
            </a:rPr>
            <a:t>это единый кроссплатформенный центр управления, который:</a:t>
          </a:r>
        </a:p>
        <a:p>
          <a:r>
            <a:rPr lang="ru-RU" sz="1100" b="0" i="0" baseline="0">
              <a:solidFill>
                <a:schemeClr val="dk1"/>
              </a:solidFill>
              <a:effectLst/>
              <a:latin typeface="+mn-lt"/>
              <a:ea typeface="+mn-ea"/>
              <a:cs typeface="+mn-cs"/>
            </a:rPr>
            <a:t>• </a:t>
          </a:r>
          <a:r>
            <a:rPr lang="ru-RU" sz="1100" b="0" i="0" u="none" strike="noStrike" baseline="0">
              <a:solidFill>
                <a:schemeClr val="dk1"/>
              </a:solidFill>
              <a:latin typeface="+mn-lt"/>
              <a:ea typeface="+mn-ea"/>
              <a:cs typeface="+mn-cs"/>
            </a:rPr>
            <a:t>контролирует конфигурации активного сетевого оборудования;</a:t>
          </a:r>
        </a:p>
        <a:p>
          <a:r>
            <a:rPr lang="ru-RU" sz="1100" b="0" i="0" u="none" strike="noStrike" baseline="0">
              <a:solidFill>
                <a:schemeClr val="dk1"/>
              </a:solidFill>
              <a:latin typeface="+mn-lt"/>
              <a:ea typeface="+mn-ea"/>
              <a:cs typeface="+mn-cs"/>
            </a:rPr>
            <a:t>• управляет всеми решениями продуктовой линейки </a:t>
          </a:r>
          <a:r>
            <a:rPr lang="en-US" sz="1100" b="0" i="0" u="none" strike="noStrike" baseline="0">
              <a:solidFill>
                <a:schemeClr val="dk1"/>
              </a:solidFill>
              <a:latin typeface="+mn-lt"/>
              <a:ea typeface="+mn-ea"/>
              <a:cs typeface="+mn-cs"/>
            </a:rPr>
            <a:t>Dallas</a:t>
          </a:r>
          <a:r>
            <a:rPr lang="ru-RU" sz="1100" b="0" i="0" u="none" strike="noStrike" baseline="0">
              <a:solidFill>
                <a:schemeClr val="dk1"/>
              </a:solidFill>
              <a:latin typeface="+mn-lt"/>
              <a:ea typeface="+mn-ea"/>
              <a:cs typeface="+mn-cs"/>
            </a:rPr>
            <a:t> </a:t>
          </a:r>
          <a:r>
            <a:rPr lang="en-US" sz="1100" b="0" i="0" u="none" strike="noStrike" baseline="0">
              <a:solidFill>
                <a:schemeClr val="dk1"/>
              </a:solidFill>
              <a:latin typeface="+mn-lt"/>
              <a:ea typeface="+mn-ea"/>
              <a:cs typeface="+mn-cs"/>
            </a:rPr>
            <a:t>Lock, </a:t>
          </a:r>
          <a:r>
            <a:rPr lang="ru-RU" sz="1100" b="0" i="0" u="none" strike="noStrike" baseline="0">
              <a:solidFill>
                <a:schemeClr val="dk1"/>
              </a:solidFill>
              <a:latin typeface="+mn-lt"/>
              <a:ea typeface="+mn-ea"/>
              <a:cs typeface="+mn-cs"/>
            </a:rPr>
            <a:t>в том числе находящимися за </a:t>
          </a:r>
          <a:r>
            <a:rPr lang="en-US" sz="1100" b="0" i="0" u="none" strike="noStrike" baseline="0">
              <a:solidFill>
                <a:schemeClr val="dk1"/>
              </a:solidFill>
              <a:latin typeface="+mn-lt"/>
              <a:ea typeface="+mn-ea"/>
              <a:cs typeface="+mn-cs"/>
            </a:rPr>
            <a:t>NAT;</a:t>
          </a:r>
        </a:p>
        <a:p>
          <a:r>
            <a:rPr lang="ru-RU" sz="1100" b="0" i="0" u="none" strike="noStrike" baseline="0">
              <a:solidFill>
                <a:schemeClr val="dk1"/>
              </a:solidFill>
              <a:latin typeface="+mn-lt"/>
              <a:ea typeface="+mn-ea"/>
              <a:cs typeface="+mn-cs"/>
            </a:rPr>
            <a:t>• поддерживает сколь угодно большую и сложную иерархическую структуру множества доменов безопасности;</a:t>
          </a:r>
        </a:p>
        <a:p>
          <a:r>
            <a:rPr lang="ru-RU" sz="1100" b="0" i="0" u="none" strike="noStrike" baseline="0">
              <a:solidFill>
                <a:schemeClr val="dk1"/>
              </a:solidFill>
              <a:latin typeface="+mn-lt"/>
              <a:ea typeface="+mn-ea"/>
              <a:cs typeface="+mn-cs"/>
            </a:rPr>
            <a:t>• удобен во внедрении и эксплуатации в организациях с большим количеством рабочих станций;</a:t>
          </a:r>
        </a:p>
        <a:p>
          <a:r>
            <a:rPr lang="ru-RU" sz="1100" b="0" i="0" u="none" strike="noStrike" baseline="0">
              <a:solidFill>
                <a:schemeClr val="dk1"/>
              </a:solidFill>
              <a:latin typeface="+mn-lt"/>
              <a:ea typeface="+mn-ea"/>
              <a:cs typeface="+mn-cs"/>
            </a:rPr>
            <a:t>• функционирует в том числе на российских ОС</a:t>
          </a:r>
          <a:r>
            <a:rPr lang="en-US" sz="1100" b="0" i="0" u="none" strike="noStrike" baseline="0">
              <a:solidFill>
                <a:schemeClr val="dk1"/>
              </a:solidFill>
              <a:latin typeface="+mn-lt"/>
              <a:ea typeface="+mn-ea"/>
              <a:cs typeface="+mn-cs"/>
            </a:rPr>
            <a:t>.</a:t>
          </a:r>
          <a:endParaRPr lang="ru-RU" sz="1100" b="0" i="0" u="none" strike="noStrike" baseline="0">
            <a:solidFill>
              <a:schemeClr val="dk1"/>
            </a:solidFill>
            <a:latin typeface="+mn-lt"/>
            <a:ea typeface="+mn-ea"/>
            <a:cs typeface="+mn-cs"/>
          </a:endParaRPr>
        </a:p>
        <a:p>
          <a:pPr algn="just"/>
          <a:endParaRPr lang="en-US" sz="1100" b="1" i="0" u="none" strike="noStrike" baseline="0">
            <a:solidFill>
              <a:schemeClr val="dk1"/>
            </a:solidFill>
            <a:latin typeface="+mn-lt"/>
            <a:ea typeface="+mn-ea"/>
            <a:cs typeface="Arial" panose="020B0604020202020204" pitchFamily="34" charset="0"/>
          </a:endParaRPr>
        </a:p>
        <a:p>
          <a:pPr algn="just"/>
          <a:r>
            <a:rPr lang="ru-RU" sz="1100" b="1" i="0" u="none" strike="noStrike" baseline="0">
              <a:solidFill>
                <a:schemeClr val="dk1"/>
              </a:solidFill>
              <a:latin typeface="+mn-lt"/>
              <a:ea typeface="+mn-ea"/>
              <a:cs typeface="Arial" panose="020B0604020202020204" pitchFamily="34" charset="0"/>
            </a:rPr>
            <a:t>Комплект поставки</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 Компакт-диск с ПО ЕЦУ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и документацией в электронном виде; краткое руководство.</a:t>
          </a:r>
          <a:endParaRPr lang="ru-RU">
            <a:effectLst/>
          </a:endParaRPr>
        </a:p>
        <a:p>
          <a:pPr algn="just"/>
          <a:r>
            <a:rPr lang="ru-RU" sz="1100" b="0" i="0" baseline="0">
              <a:solidFill>
                <a:schemeClr val="dk1"/>
              </a:solidFill>
              <a:effectLst/>
              <a:latin typeface="+mn-lt"/>
              <a:ea typeface="+mn-ea"/>
              <a:cs typeface="+mn-cs"/>
            </a:rPr>
            <a:t>• </a:t>
          </a:r>
          <a:r>
            <a:rPr lang="ru-RU" sz="1100" b="0" i="0" u="none" strike="noStrike" baseline="0">
              <a:solidFill>
                <a:schemeClr val="dk1"/>
              </a:solidFill>
              <a:latin typeface="+mn-lt"/>
              <a:ea typeface="+mn-ea"/>
              <a:cs typeface="Arial" panose="020B0604020202020204" pitchFamily="34" charset="0"/>
            </a:rPr>
            <a:t>Лицензионный</a:t>
          </a:r>
          <a:r>
            <a:rPr lang="en-US" sz="1100" b="0" i="0" u="none" strike="noStrike" baseline="0">
              <a:solidFill>
                <a:schemeClr val="dk1"/>
              </a:solidFill>
              <a:latin typeface="+mn-lt"/>
              <a:ea typeface="+mn-ea"/>
              <a:cs typeface="Arial" panose="020B0604020202020204" pitchFamily="34" charset="0"/>
            </a:rPr>
            <a:t> USB-</a:t>
          </a:r>
          <a:r>
            <a:rPr lang="ru-RU" sz="1100" b="0" i="0" u="none" strike="noStrike" baseline="0">
              <a:solidFill>
                <a:schemeClr val="dk1"/>
              </a:solidFill>
              <a:latin typeface="+mn-lt"/>
              <a:ea typeface="+mn-ea"/>
              <a:cs typeface="Arial" panose="020B0604020202020204" pitchFamily="34" charset="0"/>
            </a:rPr>
            <a:t>ключ ЕЦУ </a:t>
          </a:r>
          <a:r>
            <a:rPr lang="en-US" sz="1100" b="0" i="0" u="none" strike="noStrike" baseline="0">
              <a:solidFill>
                <a:schemeClr val="dk1"/>
              </a:solidFill>
              <a:latin typeface="+mn-lt"/>
              <a:ea typeface="+mn-ea"/>
              <a:cs typeface="Arial" panose="020B0604020202020204" pitchFamily="34" charset="0"/>
            </a:rPr>
            <a:t>Dallas Lock </a:t>
          </a:r>
          <a:r>
            <a:rPr lang="ru-RU" sz="1100" b="0" i="0" u="none" strike="noStrike" baseline="0">
              <a:solidFill>
                <a:schemeClr val="dk1"/>
              </a:solidFill>
              <a:latin typeface="+mn-lt"/>
              <a:ea typeface="+mn-ea"/>
              <a:cs typeface="Arial" panose="020B0604020202020204" pitchFamily="34" charset="0"/>
            </a:rPr>
            <a:t>с указанием максимального количества клиентских подключений.</a:t>
          </a:r>
        </a:p>
        <a:p>
          <a:pPr algn="just"/>
          <a:endParaRPr lang="ru-RU" sz="1100" b="0" i="0" u="none" strike="noStrike" baseline="0">
            <a:solidFill>
              <a:schemeClr val="dk1"/>
            </a:solidFill>
            <a:latin typeface="+mn-lt"/>
            <a:ea typeface="+mn-ea"/>
            <a:cs typeface="Arial" panose="020B0604020202020204" pitchFamily="34" charset="0"/>
          </a:endParaRPr>
        </a:p>
        <a:p>
          <a:r>
            <a:rPr lang="ru-RU" sz="1100" b="1">
              <a:solidFill>
                <a:schemeClr val="dk1"/>
              </a:solidFill>
              <a:effectLst/>
              <a:latin typeface="+mn-lt"/>
              <a:ea typeface="+mn-ea"/>
              <a:cs typeface="+mn-cs"/>
            </a:rPr>
            <a:t>Техническая поддержка</a:t>
          </a:r>
          <a:endParaRPr lang="ru-RU">
            <a:effectLst/>
          </a:endParaRPr>
        </a:p>
        <a:p>
          <a:pPr algn="just" eaLnBrk="1" fontAlgn="auto" latinLnBrk="0" hangingPunct="1"/>
          <a:r>
            <a:rPr lang="ru-RU" sz="1100" b="0" i="0" baseline="0">
              <a:solidFill>
                <a:schemeClr val="dk1"/>
              </a:solidFill>
              <a:effectLst/>
              <a:latin typeface="+mn-lt"/>
              <a:ea typeface="+mn-ea"/>
              <a:cs typeface="+mn-cs"/>
            </a:rPr>
            <a:t>При первичном приобретении гарантийное сопровождение (основной пакет) в течение 1 года включено в стоимость (окончание артикула </a:t>
          </a:r>
          <a:r>
            <a:rPr lang="en-US" sz="1100" b="1" i="0" baseline="0">
              <a:solidFill>
                <a:schemeClr val="dk1"/>
              </a:solidFill>
              <a:effectLst/>
              <a:latin typeface="+mn-lt"/>
              <a:ea typeface="+mn-ea"/>
              <a:cs typeface="+mn-cs"/>
            </a:rPr>
            <a:t>z = 12M</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В случае приобретения лицензий с гарантийным сопровождением (основной пакет) на 3 года, стоимость лицензии умножается на коэффициент </a:t>
          </a:r>
          <a:r>
            <a:rPr lang="ru-RU" sz="1100" b="1" i="0" baseline="0">
              <a:solidFill>
                <a:schemeClr val="dk1"/>
              </a:solidFill>
              <a:effectLst/>
              <a:latin typeface="+mn-lt"/>
              <a:ea typeface="+mn-ea"/>
              <a:cs typeface="+mn-cs"/>
            </a:rPr>
            <a:t>1,35</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z = 36M</a:t>
          </a:r>
          <a:r>
            <a:rPr lang="ru-RU" sz="1100" b="0" i="0" baseline="0">
              <a:solidFill>
                <a:schemeClr val="dk1"/>
              </a:solidFill>
              <a:effectLst/>
              <a:latin typeface="+mn-lt"/>
              <a:ea typeface="+mn-ea"/>
              <a:cs typeface="+mn-cs"/>
            </a:rPr>
            <a:t>). При первичном приобретении с техническим сопровождением расширенного пакета «24х7» окончания артикулов </a:t>
          </a:r>
          <a:r>
            <a:rPr lang="en-US" sz="1100" b="1" i="0" baseline="0">
              <a:solidFill>
                <a:schemeClr val="dk1"/>
              </a:solidFill>
              <a:effectLst/>
              <a:latin typeface="+mn-lt"/>
              <a:ea typeface="+mn-ea"/>
              <a:cs typeface="+mn-cs"/>
            </a:rPr>
            <a:t>12M</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12M247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36M247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ru-RU">
            <a:effectLst/>
          </a:endParaRPr>
        </a:p>
        <a:p>
          <a:pPr algn="just"/>
          <a:endParaRPr lang="ru-RU" sz="1100" b="0" i="0" u="none" strike="noStrike" baseline="0">
            <a:solidFill>
              <a:schemeClr val="dk1"/>
            </a:solidFill>
            <a:latin typeface="+mn-lt"/>
            <a:ea typeface="+mn-ea"/>
            <a:cs typeface="Arial" panose="020B0604020202020204" pitchFamily="34" charset="0"/>
          </a:endParaRPr>
        </a:p>
      </xdr:txBody>
    </xdr:sp>
    <xdr:clientData/>
  </xdr:twoCellAnchor>
  <xdr:twoCellAnchor>
    <xdr:from>
      <xdr:col>2</xdr:col>
      <xdr:colOff>3743069</xdr:colOff>
      <xdr:row>31</xdr:row>
      <xdr:rowOff>159124</xdr:rowOff>
    </xdr:from>
    <xdr:to>
      <xdr:col>13</xdr:col>
      <xdr:colOff>79332</xdr:colOff>
      <xdr:row>58</xdr:row>
      <xdr:rowOff>13447</xdr:rowOff>
    </xdr:to>
    <xdr:sp macro="" textlink="">
      <xdr:nvSpPr>
        <xdr:cNvPr id="9" name="TextBox 8">
          <a:extLst>
            <a:ext uri="{FF2B5EF4-FFF2-40B4-BE49-F238E27FC236}">
              <a16:creationId xmlns:a16="http://schemas.microsoft.com/office/drawing/2014/main" xmlns="" id="{00000000-0008-0000-0700-000009000000}"/>
            </a:ext>
          </a:extLst>
        </xdr:cNvPr>
        <xdr:cNvSpPr txBox="1"/>
      </xdr:nvSpPr>
      <xdr:spPr>
        <a:xfrm>
          <a:off x="5552819" y="10408024"/>
          <a:ext cx="6718513" cy="49978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Продление технического сопровождения оформляется в виде сертификата на код активации технической поддержки. </a:t>
          </a:r>
          <a:r>
            <a:rPr lang="ru-RU" sz="1100">
              <a:solidFill>
                <a:schemeClr val="dk1"/>
              </a:solidFill>
              <a:effectLst/>
              <a:latin typeface="+mn-lt"/>
              <a:ea typeface="+mn-ea"/>
              <a:cs typeface="+mn-cs"/>
            </a:rPr>
            <a:t>Сертификат передается по УПД или товарной накладной по форме ТОРГ-12 с оформлением счета-фактуры.</a:t>
          </a:r>
          <a:endParaRPr lang="ru-RU">
            <a:effectLst/>
          </a:endParaRPr>
        </a:p>
        <a:p>
          <a:pPr algn="just"/>
          <a:endParaRPr lang="ru-RU" sz="1100" b="0" i="0" baseline="0">
            <a:solidFill>
              <a:schemeClr val="dk1"/>
            </a:solidFill>
            <a:effectLst/>
            <a:latin typeface="+mn-lt"/>
            <a:ea typeface="+mn-ea"/>
            <a:cs typeface="+mn-cs"/>
          </a:endParaRPr>
        </a:p>
        <a:p>
          <a:pPr algn="just"/>
          <a:r>
            <a:rPr lang="ru-RU" sz="1100" b="0" i="0" baseline="0">
              <a:solidFill>
                <a:schemeClr val="dk1"/>
              </a:solidFill>
              <a:effectLst/>
              <a:latin typeface="+mn-lt"/>
              <a:ea typeface="+mn-ea"/>
              <a:cs typeface="+mn-cs"/>
            </a:rPr>
            <a:t>Стоимость последующего технического сопровождения (основной пакет) составляет 20% (15%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(основной пакет) вперед на 3 года действует скидка – стоимость продления составит 55% (40%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розничной стоимости лицензий. Стоимость последующего технического сопровождения (расширенный пакет «24х7») составляет 30% (22%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в год. При оплате технического сопровождения (расширенный пакет «24х7») вперед на 3 года действует скидка – стоимость продления составит 80% (60%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от стоимости лицензий. При продлении технического сопровождения оплачивается также весь период с момента окончания гарантийного или технического сопровождения</a:t>
          </a:r>
          <a:r>
            <a:rPr lang="en-US" sz="1100" b="0" i="0" baseline="0">
              <a:solidFill>
                <a:schemeClr val="dk1"/>
              </a:solidFill>
              <a:effectLst/>
              <a:latin typeface="+mn-lt"/>
              <a:ea typeface="+mn-ea"/>
              <a:cs typeface="+mn-cs"/>
            </a:rPr>
            <a:t> </a:t>
          </a:r>
          <a:r>
            <a:rPr lang="ru-RU" sz="1100" b="0" i="0">
              <a:solidFill>
                <a:schemeClr val="dk1"/>
              </a:solidFill>
              <a:effectLst/>
              <a:latin typeface="+mn-lt"/>
              <a:ea typeface="+mn-ea"/>
              <a:cs typeface="+mn-cs"/>
            </a:rPr>
            <a:t>на все лицензии</a:t>
          </a:r>
          <a:r>
            <a:rPr lang="ru-RU" sz="1100" b="0" i="0" baseline="0">
              <a:solidFill>
                <a:schemeClr val="dk1"/>
              </a:solidFill>
              <a:effectLst/>
              <a:latin typeface="+mn-lt"/>
              <a:ea typeface="+mn-ea"/>
              <a:cs typeface="+mn-cs"/>
            </a:rPr>
            <a:t>.</a:t>
          </a:r>
        </a:p>
        <a:p>
          <a:pPr algn="just"/>
          <a:endParaRPr lang="ru-RU">
            <a:effectLst/>
          </a:endParaRPr>
        </a:p>
        <a:p>
          <a:pPr algn="just"/>
          <a:r>
            <a:rPr lang="ru-RU" sz="1100" b="0" i="0" baseline="0">
              <a:solidFill>
                <a:schemeClr val="dk1"/>
              </a:solidFill>
              <a:effectLst/>
              <a:latin typeface="+mn-lt"/>
              <a:ea typeface="+mn-ea"/>
              <a:cs typeface="+mn-cs"/>
            </a:rPr>
            <a:t>Стоимость технического сопровождения на устаревших инфраструктурах (при использовании операционных систем с завершившейся поддержкой от вендора, например, таких, как </a:t>
          </a:r>
          <a:r>
            <a:rPr lang="en-US" sz="1100" b="0" i="0" baseline="0">
              <a:solidFill>
                <a:schemeClr val="dk1"/>
              </a:solidFill>
              <a:effectLst/>
              <a:latin typeface="+mn-lt"/>
              <a:ea typeface="+mn-ea"/>
              <a:cs typeface="+mn-cs"/>
            </a:rPr>
            <a:t>Windows XP/2003 Server</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Windows 7 </a:t>
          </a:r>
          <a:r>
            <a:rPr lang="ru-RU" sz="1100" b="0" i="0" baseline="0">
              <a:solidFill>
                <a:schemeClr val="dk1"/>
              </a:solidFill>
              <a:effectLst/>
              <a:latin typeface="+mn-lt"/>
              <a:ea typeface="+mn-ea"/>
              <a:cs typeface="+mn-cs"/>
            </a:rPr>
            <a:t>и т.д.</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удваивается.</a:t>
          </a:r>
        </a:p>
        <a:p>
          <a:pPr algn="just"/>
          <a:endParaRPr lang="ru-RU">
            <a:effectLst/>
          </a:endParaRPr>
        </a:p>
        <a:p>
          <a:pPr algn="just"/>
          <a:r>
            <a:rPr lang="ru-RU" sz="1100" b="0" i="0" baseline="0">
              <a:solidFill>
                <a:schemeClr val="dk1"/>
              </a:solidFill>
              <a:effectLst/>
              <a:latin typeface="+mn-lt"/>
              <a:ea typeface="+mn-ea"/>
              <a:cs typeface="+mn-cs"/>
            </a:rPr>
            <a:t>Пользователи программного обеспечения </a:t>
          </a:r>
          <a:r>
            <a:rPr lang="en-US" sz="1100" b="0" i="0" baseline="0">
              <a:solidFill>
                <a:schemeClr val="dk1"/>
              </a:solidFill>
              <a:effectLst/>
              <a:latin typeface="+mn-lt"/>
              <a:ea typeface="+mn-ea"/>
              <a:cs typeface="+mn-cs"/>
            </a:rPr>
            <a:t>Dallas Lock </a:t>
          </a:r>
          <a:r>
            <a:rPr lang="ru-RU" sz="1100" b="0" i="0" baseline="0">
              <a:solidFill>
                <a:schemeClr val="dk1"/>
              </a:solidFill>
              <a:effectLst/>
              <a:latin typeface="+mn-lt"/>
              <a:ea typeface="+mn-ea"/>
              <a:cs typeface="+mn-cs"/>
            </a:rPr>
            <a:t>в рамках гарантийного или непрерывно действующего технического сопровождения имеют право бесплатного обновления лицензий до следующей версии этого решения (с тем же объемом функциональности). Оплачивается только стоимость новых сертифицированных комплектов для установки и 1 год (3 года для лицензий с артикулом </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.36</a:t>
          </a:r>
          <a:r>
            <a:rPr lang="en-US" sz="1100" b="0" i="0" baseline="0">
              <a:solidFill>
                <a:schemeClr val="dk1"/>
              </a:solidFill>
              <a:effectLst/>
              <a:latin typeface="+mn-lt"/>
              <a:ea typeface="+mn-ea"/>
              <a:cs typeface="+mn-cs"/>
            </a:rPr>
            <a:t>M</a:t>
          </a:r>
          <a:r>
            <a:rPr lang="ru-RU" sz="1100" b="0" i="0" baseline="0">
              <a:solidFill>
                <a:schemeClr val="dk1"/>
              </a:solidFill>
              <a:effectLst/>
              <a:latin typeface="+mn-lt"/>
              <a:ea typeface="+mn-ea"/>
              <a:cs typeface="+mn-cs"/>
            </a:rPr>
            <a:t>) технической поддержки.</a:t>
          </a:r>
          <a:endParaRPr lang="ru-RU">
            <a:effectLst/>
          </a:endParaRPr>
        </a:p>
        <a:p>
          <a:pPr algn="just">
            <a:lnSpc>
              <a:spcPct val="115000"/>
            </a:lnSpc>
            <a:spcAft>
              <a:spcPts val="0"/>
            </a:spcAft>
          </a:pPr>
          <a:endParaRPr lang="ru-RU" sz="1100" b="0">
            <a:solidFill>
              <a:srgbClr val="000000"/>
            </a:solidFill>
            <a:effectLst/>
            <a:latin typeface="+mn-lt"/>
            <a:ea typeface="Calibri"/>
            <a:cs typeface="Times New Roman"/>
          </a:endParaRPr>
        </a:p>
      </xdr:txBody>
    </xdr:sp>
    <xdr:clientData/>
  </xdr:twoCellAnchor>
  <xdr:twoCellAnchor>
    <xdr:from>
      <xdr:col>1</xdr:col>
      <xdr:colOff>47624</xdr:colOff>
      <xdr:row>54</xdr:row>
      <xdr:rowOff>90232</xdr:rowOff>
    </xdr:from>
    <xdr:to>
      <xdr:col>12</xdr:col>
      <xdr:colOff>59266</xdr:colOff>
      <xdr:row>60</xdr:row>
      <xdr:rowOff>52566</xdr:rowOff>
    </xdr:to>
    <xdr:grpSp>
      <xdr:nvGrpSpPr>
        <xdr:cNvPr id="2" name="Группа 1">
          <a:extLst>
            <a:ext uri="{FF2B5EF4-FFF2-40B4-BE49-F238E27FC236}">
              <a16:creationId xmlns:a16="http://schemas.microsoft.com/office/drawing/2014/main" xmlns="" id="{00000000-0008-0000-0700-000002000000}"/>
            </a:ext>
          </a:extLst>
        </xdr:cNvPr>
        <xdr:cNvGrpSpPr/>
      </xdr:nvGrpSpPr>
      <xdr:grpSpPr>
        <a:xfrm>
          <a:off x="133349" y="14720632"/>
          <a:ext cx="12041717" cy="1105334"/>
          <a:chOff x="19804" y="14248649"/>
          <a:chExt cx="12996370" cy="1203711"/>
        </a:xfrm>
      </xdr:grpSpPr>
      <xdr:sp macro="" textlink="">
        <xdr:nvSpPr>
          <xdr:cNvPr id="3" name="TextBox 2">
            <a:extLst>
              <a:ext uri="{FF2B5EF4-FFF2-40B4-BE49-F238E27FC236}">
                <a16:creationId xmlns:a16="http://schemas.microsoft.com/office/drawing/2014/main" xmlns="" id="{00000000-0008-0000-0700-000003000000}"/>
              </a:ext>
            </a:extLst>
          </xdr:cNvPr>
          <xdr:cNvSpPr txBox="1"/>
        </xdr:nvSpPr>
        <xdr:spPr>
          <a:xfrm>
            <a:off x="19804" y="14423657"/>
            <a:ext cx="12996370" cy="1028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Arial" panose="020B0604020202020204" pitchFamily="34" charset="0"/>
              </a:rPr>
              <a:t>* «x» – </a:t>
            </a:r>
            <a:r>
              <a:rPr lang="ru-RU" sz="1100" b="0" i="0" u="none" strike="noStrike" baseline="0">
                <a:solidFill>
                  <a:schemeClr val="dk1"/>
                </a:solidFill>
                <a:latin typeface="+mn-lt"/>
                <a:ea typeface="+mn-ea"/>
                <a:cs typeface="Arial" panose="020B0604020202020204" pitchFamily="34" charset="0"/>
              </a:rPr>
              <a:t>диапазон приобретаемых лицензий по количеству рабочих станций, серверов</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z» – </a:t>
            </a:r>
            <a:r>
              <a:rPr lang="ru-RU" sz="1100" b="0" i="0" baseline="0">
                <a:solidFill>
                  <a:schemeClr val="dk1"/>
                </a:solidFill>
                <a:effectLst/>
                <a:latin typeface="+mn-lt"/>
                <a:ea typeface="+mn-ea"/>
                <a:cs typeface="+mn-cs"/>
              </a:rPr>
              <a:t>срок оказания гарантийного сопровождения: </a:t>
            </a:r>
            <a:r>
              <a:rPr lang="en-US" sz="1100" b="0" i="0" baseline="0">
                <a:solidFill>
                  <a:schemeClr val="dk1"/>
                </a:solidFill>
                <a:effectLst/>
                <a:latin typeface="+mn-lt"/>
                <a:ea typeface="+mn-ea"/>
                <a:cs typeface="+mn-cs"/>
              </a:rPr>
              <a:t>12M - </a:t>
            </a:r>
            <a:r>
              <a:rPr lang="ru-RU" sz="1100" b="0" i="0" baseline="0">
                <a:solidFill>
                  <a:schemeClr val="dk1"/>
                </a:solidFill>
                <a:effectLst/>
                <a:latin typeface="+mn-lt"/>
                <a:ea typeface="+mn-ea"/>
                <a:cs typeface="+mn-cs"/>
              </a:rPr>
              <a:t>12 месяцев, 36</a:t>
            </a:r>
            <a:r>
              <a:rPr lang="en-US" sz="1100" b="0" i="0" baseline="0">
                <a:solidFill>
                  <a:schemeClr val="dk1"/>
                </a:solidFill>
                <a:effectLst/>
                <a:latin typeface="+mn-lt"/>
                <a:ea typeface="+mn-ea"/>
                <a:cs typeface="+mn-cs"/>
              </a:rPr>
              <a:t>M - </a:t>
            </a:r>
            <a:r>
              <a:rPr lang="ru-RU" sz="1100" b="0" i="0" baseline="0">
                <a:solidFill>
                  <a:schemeClr val="dk1"/>
                </a:solidFill>
                <a:effectLst/>
                <a:latin typeface="+mn-lt"/>
                <a:ea typeface="+mn-ea"/>
                <a:cs typeface="+mn-cs"/>
              </a:rPr>
              <a:t>36 месяцев.</a:t>
            </a:r>
            <a:endParaRPr lang="ru-RU" sz="1100" b="0" i="0" u="none" strike="noStrike" baseline="0">
              <a:solidFill>
                <a:schemeClr val="dk1"/>
              </a:solidFill>
              <a:latin typeface="+mn-lt"/>
              <a:ea typeface="+mn-ea"/>
              <a:cs typeface="Arial" panose="020B0604020202020204" pitchFamily="34" charset="0"/>
            </a:endParaRPr>
          </a:p>
          <a:p>
            <a:r>
              <a:rPr lang="ru-RU" sz="1100" b="0" i="0" u="none" strike="noStrike" baseline="0">
                <a:solidFill>
                  <a:schemeClr val="dk1"/>
                </a:solidFill>
                <a:latin typeface="+mn-lt"/>
                <a:ea typeface="+mn-ea"/>
                <a:cs typeface="Arial" panose="020B0604020202020204" pitchFamily="34" charset="0"/>
              </a:rPr>
              <a:t>** На основании статьи № 149 п. 2 пп. 26 НК РФ стоимость передаваемых неисключительных прав на используемое программное обеспечение не облагается НДС.</a:t>
            </a:r>
            <a:endParaRPr lang="en-US" sz="1100" b="0" i="0" u="none" strike="noStrike" baseline="0">
              <a:solidFill>
                <a:schemeClr val="dk1"/>
              </a:solidFill>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ru-RU" sz="1100" b="0" i="0" baseline="0">
                <a:solidFill>
                  <a:schemeClr val="dk1"/>
                </a:solidFill>
                <a:effectLst/>
                <a:latin typeface="+mn-lt"/>
                <a:ea typeface="+mn-ea"/>
                <a:cs typeface="+mn-cs"/>
              </a:rPr>
              <a:t>*** В стоимость входит НДС 20%.</a:t>
            </a:r>
            <a:endParaRPr lang="ru-RU">
              <a:effectLst/>
            </a:endParaRPr>
          </a:p>
          <a:p>
            <a:endParaRPr lang="ru-RU" sz="1100" b="0" i="0" u="none" strike="noStrike" baseline="0">
              <a:solidFill>
                <a:schemeClr val="dk1"/>
              </a:solidFill>
              <a:latin typeface="+mn-lt"/>
              <a:ea typeface="+mn-ea"/>
              <a:cs typeface="Arial" panose="020B0604020202020204" pitchFamily="34" charset="0"/>
            </a:endParaRPr>
          </a:p>
        </xdr:txBody>
      </xdr:sp>
      <xdr:cxnSp macro="">
        <xdr:nvCxnSpPr>
          <xdr:cNvPr id="4" name="Прямая соединительная линия 3">
            <a:extLst>
              <a:ext uri="{FF2B5EF4-FFF2-40B4-BE49-F238E27FC236}">
                <a16:creationId xmlns:a16="http://schemas.microsoft.com/office/drawing/2014/main" xmlns="" id="{00000000-0008-0000-0700-000004000000}"/>
              </a:ext>
            </a:extLst>
          </xdr:cNvPr>
          <xdr:cNvCxnSpPr/>
        </xdr:nvCxnSpPr>
        <xdr:spPr>
          <a:xfrm>
            <a:off x="86480" y="14248649"/>
            <a:ext cx="4838700"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0</xdr:col>
      <xdr:colOff>19050</xdr:colOff>
      <xdr:row>26</xdr:row>
      <xdr:rowOff>116415</xdr:rowOff>
    </xdr:from>
    <xdr:to>
      <xdr:col>13</xdr:col>
      <xdr:colOff>28574</xdr:colOff>
      <xdr:row>29</xdr:row>
      <xdr:rowOff>76200</xdr:rowOff>
    </xdr:to>
    <xdr:pic>
      <xdr:nvPicPr>
        <xdr:cNvPr id="7" name="Рисунок 6">
          <a:extLst>
            <a:ext uri="{FF2B5EF4-FFF2-40B4-BE49-F238E27FC236}">
              <a16:creationId xmlns:a16="http://schemas.microsoft.com/office/drawing/2014/main" xmlns="" id="{00000000-0008-0000-07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50" y="9412815"/>
          <a:ext cx="12201524" cy="531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3752850</xdr:colOff>
          <xdr:row>16</xdr:row>
          <xdr:rowOff>85725</xdr:rowOff>
        </xdr:from>
        <xdr:to>
          <xdr:col>3</xdr:col>
          <xdr:colOff>0</xdr:colOff>
          <xdr:row>18</xdr:row>
          <xdr:rowOff>19050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xmlns="" id="{00000000-0008-0000-07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16</xdr:row>
          <xdr:rowOff>95250</xdr:rowOff>
        </xdr:from>
        <xdr:to>
          <xdr:col>11</xdr:col>
          <xdr:colOff>76200</xdr:colOff>
          <xdr:row>18</xdr:row>
          <xdr:rowOff>9525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xmlns="" id="{00000000-0008-0000-07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1</xdr:row>
      <xdr:rowOff>1076326</xdr:rowOff>
    </xdr:from>
    <xdr:to>
      <xdr:col>13</xdr:col>
      <xdr:colOff>47625</xdr:colOff>
      <xdr:row>3</xdr:row>
      <xdr:rowOff>1</xdr:rowOff>
    </xdr:to>
    <xdr:sp macro="" textlink="">
      <xdr:nvSpPr>
        <xdr:cNvPr id="5" name="Прямоугольник 4">
          <a:hlinkClick xmlns:r="http://schemas.openxmlformats.org/officeDocument/2006/relationships" r:id="rId4"/>
          <a:extLst>
            <a:ext uri="{FF2B5EF4-FFF2-40B4-BE49-F238E27FC236}">
              <a16:creationId xmlns:a16="http://schemas.microsoft.com/office/drawing/2014/main" xmlns="" id="{00000000-0008-0000-0700-000005000000}"/>
            </a:ext>
          </a:extLst>
        </xdr:cNvPr>
        <xdr:cNvSpPr/>
      </xdr:nvSpPr>
      <xdr:spPr>
        <a:xfrm>
          <a:off x="19050" y="1266826"/>
          <a:ext cx="12220575"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editAs="oneCell">
    <xdr:from>
      <xdr:col>4</xdr:col>
      <xdr:colOff>476250</xdr:colOff>
      <xdr:row>2</xdr:row>
      <xdr:rowOff>114300</xdr:rowOff>
    </xdr:from>
    <xdr:to>
      <xdr:col>4</xdr:col>
      <xdr:colOff>662009</xdr:colOff>
      <xdr:row>2</xdr:row>
      <xdr:rowOff>300059</xdr:rowOff>
    </xdr:to>
    <xdr:pic>
      <xdr:nvPicPr>
        <xdr:cNvPr id="15" name="Рисунок 14">
          <a:extLst>
            <a:ext uri="{FF2B5EF4-FFF2-40B4-BE49-F238E27FC236}">
              <a16:creationId xmlns:a16="http://schemas.microsoft.com/office/drawing/2014/main" xmlns=""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953250" y="1390650"/>
          <a:ext cx="185759" cy="1857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3752850</xdr:colOff>
          <xdr:row>5</xdr:row>
          <xdr:rowOff>85725</xdr:rowOff>
        </xdr:from>
        <xdr:to>
          <xdr:col>2</xdr:col>
          <xdr:colOff>3962400</xdr:colOff>
          <xdr:row>7</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xmlns="" id="{00000000-0008-0000-0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5</xdr:col>
      <xdr:colOff>2031513</xdr:colOff>
      <xdr:row>2</xdr:row>
      <xdr:rowOff>3715</xdr:rowOff>
    </xdr:to>
    <xdr:pic>
      <xdr:nvPicPr>
        <xdr:cNvPr id="3" name="Рисунок 2">
          <a:hlinkClick xmlns:r="http://schemas.openxmlformats.org/officeDocument/2006/relationships" r:id="rId1"/>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2"/>
        <a:stretch>
          <a:fillRect/>
        </a:stretch>
      </xdr:blipFill>
      <xdr:spPr>
        <a:xfrm>
          <a:off x="0" y="0"/>
          <a:ext cx="12531873" cy="1268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5</xdr:row>
          <xdr:rowOff>95250</xdr:rowOff>
        </xdr:from>
        <xdr:to>
          <xdr:col>5</xdr:col>
          <xdr:colOff>266700</xdr:colOff>
          <xdr:row>7</xdr:row>
          <xdr:rowOff>9525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xmlns="" id="{00000000-0008-0000-08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72680</xdr:colOff>
      <xdr:row>48</xdr:row>
      <xdr:rowOff>121920</xdr:rowOff>
    </xdr:from>
    <xdr:to>
      <xdr:col>6</xdr:col>
      <xdr:colOff>7620</xdr:colOff>
      <xdr:row>49</xdr:row>
      <xdr:rowOff>10938</xdr:rowOff>
    </xdr:to>
    <xdr:cxnSp macro="">
      <xdr:nvCxnSpPr>
        <xdr:cNvPr id="9" name="Прямая соединительная линия 8">
          <a:extLst>
            <a:ext uri="{FF2B5EF4-FFF2-40B4-BE49-F238E27FC236}">
              <a16:creationId xmlns:a16="http://schemas.microsoft.com/office/drawing/2014/main" xmlns="" id="{00000000-0008-0000-0800-000009000000}"/>
            </a:ext>
          </a:extLst>
        </xdr:cNvPr>
        <xdr:cNvCxnSpPr/>
      </xdr:nvCxnSpPr>
      <xdr:spPr>
        <a:xfrm flipV="1">
          <a:off x="164120" y="13174980"/>
          <a:ext cx="12256480" cy="7189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24</xdr:row>
      <xdr:rowOff>0</xdr:rowOff>
    </xdr:from>
    <xdr:to>
      <xdr:col>2</xdr:col>
      <xdr:colOff>3960495</xdr:colOff>
      <xdr:row>43</xdr:row>
      <xdr:rowOff>76200</xdr:rowOff>
    </xdr:to>
    <xdr:sp macro="" textlink="">
      <xdr:nvSpPr>
        <xdr:cNvPr id="16" name="TextBox 15">
          <a:extLst>
            <a:ext uri="{FF2B5EF4-FFF2-40B4-BE49-F238E27FC236}">
              <a16:creationId xmlns:a16="http://schemas.microsoft.com/office/drawing/2014/main" xmlns="" id="{00000000-0008-0000-0800-000010000000}"/>
            </a:ext>
          </a:extLst>
        </xdr:cNvPr>
        <xdr:cNvSpPr txBox="1"/>
      </xdr:nvSpPr>
      <xdr:spPr>
        <a:xfrm>
          <a:off x="91440" y="7566660"/>
          <a:ext cx="6025515" cy="3550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b="1" i="0" u="none" strike="noStrike" baseline="0">
              <a:solidFill>
                <a:schemeClr val="dk1"/>
              </a:solidFill>
              <a:latin typeface="+mn-lt"/>
              <a:ea typeface="+mn-ea"/>
              <a:cs typeface="Arial" panose="020B0604020202020204" pitchFamily="34" charset="0"/>
            </a:rPr>
            <a:t>Шлюз безопасности </a:t>
          </a:r>
          <a:r>
            <a:rPr lang="en-US" sz="1100" b="1" i="0" u="none" strike="noStrike" baseline="0">
              <a:solidFill>
                <a:schemeClr val="dk1"/>
              </a:solidFill>
              <a:latin typeface="+mn-lt"/>
              <a:ea typeface="+mn-ea"/>
              <a:cs typeface="Arial" panose="020B0604020202020204" pitchFamily="34" charset="0"/>
            </a:rPr>
            <a:t>Web Application Firewall (WAF) Dallas Lock. </a:t>
          </a:r>
          <a:r>
            <a:rPr lang="ru-RU" sz="1100" b="1" i="0" u="none" strike="noStrike" baseline="0">
              <a:solidFill>
                <a:schemeClr val="dk1"/>
              </a:solidFill>
              <a:latin typeface="+mn-lt"/>
              <a:ea typeface="+mn-ea"/>
              <a:cs typeface="Arial" panose="020B0604020202020204" pitchFamily="34" charset="0"/>
            </a:rPr>
            <a:t>Право на использование</a:t>
          </a:r>
        </a:p>
        <a:p>
          <a:r>
            <a:rPr lang="en-US" sz="1100" b="0" i="0">
              <a:solidFill>
                <a:schemeClr val="dk1"/>
              </a:solidFill>
              <a:effectLst/>
              <a:latin typeface="+mn-lt"/>
              <a:ea typeface="+mn-ea"/>
              <a:cs typeface="+mn-cs"/>
            </a:rPr>
            <a:t>WAF Dallas Lock — </a:t>
          </a:r>
          <a:r>
            <a:rPr lang="ru-RU" sz="1100" b="0" i="0">
              <a:solidFill>
                <a:schemeClr val="dk1"/>
              </a:solidFill>
              <a:effectLst/>
              <a:latin typeface="+mn-lt"/>
              <a:ea typeface="+mn-ea"/>
              <a:cs typeface="+mn-cs"/>
            </a:rPr>
            <a:t>это межсетевой экран прикладного уровня, предназначенный для защиты веб-серверов от сетевых атак и нежелательного интернет-трафика, который предоставляет:</a:t>
          </a:r>
        </a:p>
        <a:p>
          <a:r>
            <a:rPr lang="ru-RU" sz="1100" b="0" i="0">
              <a:solidFill>
                <a:schemeClr val="dk1"/>
              </a:solidFill>
              <a:effectLst/>
              <a:latin typeface="+mn-lt"/>
              <a:ea typeface="+mn-ea"/>
              <a:cs typeface="+mn-cs"/>
            </a:rPr>
            <a:t>• защиту на прикладном уровне;</a:t>
          </a:r>
        </a:p>
        <a:p>
          <a:r>
            <a:rPr lang="ru-RU" sz="1100" b="0" i="0">
              <a:solidFill>
                <a:schemeClr val="dk1"/>
              </a:solidFill>
              <a:effectLst/>
              <a:latin typeface="+mn-lt"/>
              <a:ea typeface="+mn-ea"/>
              <a:cs typeface="+mn-cs"/>
            </a:rPr>
            <a:t>• защиту от угроз из списка </a:t>
          </a:r>
          <a:r>
            <a:rPr lang="en-US" sz="1100" b="0" i="0">
              <a:solidFill>
                <a:schemeClr val="dk1"/>
              </a:solidFill>
              <a:effectLst/>
              <a:latin typeface="+mn-lt"/>
              <a:ea typeface="+mn-ea"/>
              <a:cs typeface="+mn-cs"/>
            </a:rPr>
            <a:t>OWASP TOP 10;</a:t>
          </a:r>
        </a:p>
        <a:p>
          <a:r>
            <a:rPr lang="en-US" sz="1100" b="0" i="0">
              <a:solidFill>
                <a:schemeClr val="dk1"/>
              </a:solidFill>
              <a:effectLst/>
              <a:latin typeface="+mn-lt"/>
              <a:ea typeface="+mn-ea"/>
              <a:cs typeface="+mn-cs"/>
            </a:rPr>
            <a:t>• </a:t>
          </a:r>
          <a:r>
            <a:rPr lang="ru-RU" sz="1100" b="0" i="0">
              <a:solidFill>
                <a:schemeClr val="dk1"/>
              </a:solidFill>
              <a:effectLst/>
              <a:latin typeface="+mn-lt"/>
              <a:ea typeface="+mn-ea"/>
              <a:cs typeface="+mn-cs"/>
            </a:rPr>
            <a:t>анализ трафика веб-приложений, включая </a:t>
          </a:r>
          <a:r>
            <a:rPr lang="en-US" sz="1100" b="0" i="0">
              <a:solidFill>
                <a:schemeClr val="dk1"/>
              </a:solidFill>
              <a:effectLst/>
              <a:latin typeface="+mn-lt"/>
              <a:ea typeface="+mn-ea"/>
              <a:cs typeface="+mn-cs"/>
            </a:rPr>
            <a:t>XML-API </a:t>
          </a:r>
          <a:r>
            <a:rPr lang="ru-RU" sz="1100" b="0" i="0">
              <a:solidFill>
                <a:schemeClr val="dk1"/>
              </a:solidFill>
              <a:effectLst/>
              <a:latin typeface="+mn-lt"/>
              <a:ea typeface="+mn-ea"/>
              <a:cs typeface="+mn-cs"/>
            </a:rPr>
            <a:t>и </a:t>
          </a:r>
          <a:r>
            <a:rPr lang="en-US" sz="1100" b="0" i="0">
              <a:solidFill>
                <a:schemeClr val="dk1"/>
              </a:solidFill>
              <a:effectLst/>
              <a:latin typeface="+mn-lt"/>
              <a:ea typeface="+mn-ea"/>
              <a:cs typeface="+mn-cs"/>
            </a:rPr>
            <a:t>JSON, </a:t>
          </a:r>
          <a:r>
            <a:rPr lang="ru-RU" sz="1100" b="0" i="0">
              <a:solidFill>
                <a:schemeClr val="dk1"/>
              </a:solidFill>
              <a:effectLst/>
              <a:latin typeface="+mn-lt"/>
              <a:ea typeface="+mn-ea"/>
              <a:cs typeface="+mn-cs"/>
            </a:rPr>
            <a:t>а также поддержку протоколов </a:t>
          </a:r>
          <a:r>
            <a:rPr lang="en-US" sz="1100" b="0" i="0">
              <a:solidFill>
                <a:schemeClr val="dk1"/>
              </a:solidFill>
              <a:effectLst/>
              <a:latin typeface="+mn-lt"/>
              <a:ea typeface="+mn-ea"/>
              <a:cs typeface="+mn-cs"/>
            </a:rPr>
            <a:t>HTTP/2 </a:t>
          </a:r>
          <a:r>
            <a:rPr lang="ru-RU" sz="1100" b="0" i="0">
              <a:solidFill>
                <a:schemeClr val="dk1"/>
              </a:solidFill>
              <a:effectLst/>
              <a:latin typeface="+mn-lt"/>
              <a:ea typeface="+mn-ea"/>
              <a:cs typeface="+mn-cs"/>
            </a:rPr>
            <a:t>и </a:t>
          </a:r>
          <a:r>
            <a:rPr lang="en-US" sz="1100" b="0" i="0">
              <a:solidFill>
                <a:schemeClr val="dk1"/>
              </a:solidFill>
              <a:effectLst/>
              <a:latin typeface="+mn-lt"/>
              <a:ea typeface="+mn-ea"/>
              <a:cs typeface="+mn-cs"/>
            </a:rPr>
            <a:t>HTTP/3 </a:t>
          </a:r>
          <a:r>
            <a:rPr lang="ru-RU" sz="1100" b="0" i="0">
              <a:solidFill>
                <a:schemeClr val="dk1"/>
              </a:solidFill>
              <a:effectLst/>
              <a:latin typeface="+mn-lt"/>
              <a:ea typeface="+mn-ea"/>
              <a:cs typeface="+mn-cs"/>
            </a:rPr>
            <a:t>и инспекцию </a:t>
          </a:r>
          <a:r>
            <a:rPr lang="en-US" sz="1100" b="0" i="0">
              <a:solidFill>
                <a:schemeClr val="dk1"/>
              </a:solidFill>
              <a:effectLst/>
              <a:latin typeface="+mn-lt"/>
              <a:ea typeface="+mn-ea"/>
              <a:cs typeface="+mn-cs"/>
            </a:rPr>
            <a:t>SSL/TLS;</a:t>
          </a:r>
        </a:p>
        <a:p>
          <a:r>
            <a:rPr lang="en-US" sz="1100" b="0" i="0">
              <a:solidFill>
                <a:schemeClr val="dk1"/>
              </a:solidFill>
              <a:effectLst/>
              <a:latin typeface="+mn-lt"/>
              <a:ea typeface="+mn-ea"/>
              <a:cs typeface="+mn-cs"/>
            </a:rPr>
            <a:t>• </a:t>
          </a:r>
          <a:r>
            <a:rPr lang="ru-RU" sz="1100" b="0" i="0">
              <a:solidFill>
                <a:schemeClr val="dk1"/>
              </a:solidFill>
              <a:effectLst/>
              <a:latin typeface="+mn-lt"/>
              <a:ea typeface="+mn-ea"/>
              <a:cs typeface="+mn-cs"/>
            </a:rPr>
            <a:t>возможность отображения нагрузки на информационные ресурсы компании;</a:t>
          </a:r>
        </a:p>
        <a:p>
          <a:r>
            <a:rPr lang="ru-RU" sz="1100" b="0" i="0">
              <a:solidFill>
                <a:schemeClr val="dk1"/>
              </a:solidFill>
              <a:effectLst/>
              <a:latin typeface="+mn-lt"/>
              <a:ea typeface="+mn-ea"/>
              <a:cs typeface="+mn-cs"/>
            </a:rPr>
            <a:t>• гибкую настройку правил и политик фильтрации трафика;</a:t>
          </a:r>
        </a:p>
        <a:p>
          <a:r>
            <a:rPr lang="ru-RU" sz="1100" b="0" i="0">
              <a:solidFill>
                <a:schemeClr val="dk1"/>
              </a:solidFill>
              <a:effectLst/>
              <a:latin typeface="+mn-lt"/>
              <a:ea typeface="+mn-ea"/>
              <a:cs typeface="+mn-cs"/>
            </a:rPr>
            <a:t>• централизованный мониторинг и управление защитой нескольких веб-приложений из единой консоли;</a:t>
          </a:r>
        </a:p>
        <a:p>
          <a:r>
            <a:rPr lang="ru-RU" sz="1100" b="0" i="0">
              <a:solidFill>
                <a:schemeClr val="dk1"/>
              </a:solidFill>
              <a:effectLst/>
              <a:latin typeface="+mn-lt"/>
              <a:ea typeface="+mn-ea"/>
              <a:cs typeface="+mn-cs"/>
            </a:rPr>
            <a:t>• журналирование инцидентов информационной безопасности;</a:t>
          </a:r>
        </a:p>
        <a:p>
          <a:r>
            <a:rPr lang="ru-RU" sz="1100" b="0" i="0">
              <a:solidFill>
                <a:schemeClr val="dk1"/>
              </a:solidFill>
              <a:effectLst/>
              <a:latin typeface="+mn-lt"/>
              <a:ea typeface="+mn-ea"/>
              <a:cs typeface="+mn-cs"/>
            </a:rPr>
            <a:t>• эргономичный графический интерфейс для управления настройками и мониторинга;</a:t>
          </a:r>
        </a:p>
        <a:p>
          <a:r>
            <a:rPr lang="ru-RU" sz="1100" b="0" i="0">
              <a:solidFill>
                <a:schemeClr val="dk1"/>
              </a:solidFill>
              <a:effectLst/>
              <a:latin typeface="+mn-lt"/>
              <a:ea typeface="+mn-ea"/>
              <a:cs typeface="+mn-cs"/>
            </a:rPr>
            <a:t>• оповещение об инцидентах безопасности.</a:t>
          </a:r>
        </a:p>
        <a:p>
          <a:endParaRPr lang="ru-RU" sz="1100" b="1" i="0" baseline="0">
            <a:solidFill>
              <a:schemeClr val="dk1"/>
            </a:solidFill>
            <a:effectLst/>
            <a:latin typeface="+mn-lt"/>
            <a:ea typeface="+mn-ea"/>
            <a:cs typeface="+mn-cs"/>
          </a:endParaRPr>
        </a:p>
        <a:p>
          <a:r>
            <a:rPr lang="ru-RU" sz="1100" b="1" i="0" baseline="0">
              <a:solidFill>
                <a:sysClr val="windowText" lastClr="000000"/>
              </a:solidFill>
              <a:effectLst/>
              <a:latin typeface="+mn-lt"/>
              <a:ea typeface="+mn-ea"/>
              <a:cs typeface="+mn-cs"/>
            </a:rPr>
            <a:t>Шлюз безопасности </a:t>
          </a:r>
          <a:r>
            <a:rPr lang="en-US" sz="1100" b="1" i="0" baseline="0">
              <a:solidFill>
                <a:sysClr val="windowText" lastClr="000000"/>
              </a:solidFill>
              <a:effectLst/>
              <a:latin typeface="+mn-lt"/>
              <a:ea typeface="+mn-ea"/>
              <a:cs typeface="+mn-cs"/>
            </a:rPr>
            <a:t>WAF Dallas Lock. </a:t>
          </a:r>
          <a:r>
            <a:rPr lang="ru-RU" sz="1100" b="1" i="0" baseline="0">
              <a:solidFill>
                <a:sysClr val="windowText" lastClr="000000"/>
              </a:solidFill>
              <a:effectLst/>
              <a:latin typeface="+mn-lt"/>
              <a:ea typeface="+mn-ea"/>
              <a:cs typeface="+mn-cs"/>
            </a:rPr>
            <a:t>Ограниченная комплектация только МЭ/СОВ</a:t>
          </a:r>
          <a:endParaRPr lang="ru-RU">
            <a:solidFill>
              <a:sysClr val="windowText" lastClr="000000"/>
            </a:solidFill>
            <a:effectLst/>
          </a:endParaRPr>
        </a:p>
        <a:p>
          <a:r>
            <a:rPr lang="ru-RU" sz="1100" b="0" i="0">
              <a:solidFill>
                <a:schemeClr val="dk1"/>
              </a:solidFill>
              <a:effectLst/>
              <a:latin typeface="+mn-lt"/>
              <a:ea typeface="+mn-ea"/>
              <a:cs typeface="+mn-cs"/>
            </a:rPr>
            <a:t>Дополнительная функциональность версии с МЭ/СОВ включает:</a:t>
          </a:r>
        </a:p>
        <a:p>
          <a:r>
            <a:rPr lang="ru-RU" sz="1100" b="0" i="0">
              <a:solidFill>
                <a:schemeClr val="dk1"/>
              </a:solidFill>
              <a:effectLst/>
              <a:latin typeface="+mn-lt"/>
              <a:ea typeface="+mn-ea"/>
              <a:cs typeface="+mn-cs"/>
            </a:rPr>
            <a:t>• защиту на трех уровнях: транспортном, сетевом и прикладном;</a:t>
          </a:r>
        </a:p>
        <a:p>
          <a:r>
            <a:rPr lang="ru-RU" sz="1100" b="0" i="0">
              <a:solidFill>
                <a:schemeClr val="dk1"/>
              </a:solidFill>
              <a:effectLst/>
              <a:latin typeface="+mn-lt"/>
              <a:ea typeface="+mn-ea"/>
              <a:cs typeface="+mn-cs"/>
            </a:rPr>
            <a:t>• использование межсетевого экрана для контроля трафика на уровне логических границ сети;</a:t>
          </a:r>
        </a:p>
        <a:p>
          <a:r>
            <a:rPr lang="ru-RU" sz="1100" b="0" i="0">
              <a:solidFill>
                <a:schemeClr val="dk1"/>
              </a:solidFill>
              <a:effectLst/>
              <a:latin typeface="+mn-lt"/>
              <a:ea typeface="+mn-ea"/>
              <a:cs typeface="+mn-cs"/>
            </a:rPr>
            <a:t>• систему обнаружения вторжений на сетевом уровне.</a:t>
          </a:r>
        </a:p>
        <a:p>
          <a:endParaRPr lang="ru-RU">
            <a:solidFill>
              <a:sysClr val="windowText" lastClr="000000"/>
            </a:solidFill>
            <a:effectLst/>
          </a:endParaRPr>
        </a:p>
        <a:p>
          <a:pPr algn="just"/>
          <a:endParaRPr lang="ru-RU" sz="1100" b="1" i="0" u="none" strike="noStrike" baseline="0">
            <a:solidFill>
              <a:schemeClr val="dk1"/>
            </a:solidFill>
            <a:latin typeface="+mn-lt"/>
            <a:ea typeface="+mn-ea"/>
            <a:cs typeface="Arial" panose="020B0604020202020204" pitchFamily="34" charset="0"/>
          </a:endParaRPr>
        </a:p>
      </xdr:txBody>
    </xdr:sp>
    <xdr:clientData/>
  </xdr:twoCellAnchor>
  <xdr:twoCellAnchor>
    <xdr:from>
      <xdr:col>3</xdr:col>
      <xdr:colOff>1</xdr:colOff>
      <xdr:row>24</xdr:row>
      <xdr:rowOff>0</xdr:rowOff>
    </xdr:from>
    <xdr:to>
      <xdr:col>6</xdr:col>
      <xdr:colOff>53340</xdr:colOff>
      <xdr:row>42</xdr:row>
      <xdr:rowOff>171449</xdr:rowOff>
    </xdr:to>
    <xdr:sp macro="" textlink="">
      <xdr:nvSpPr>
        <xdr:cNvPr id="17" name="TextBox 16">
          <a:extLst>
            <a:ext uri="{FF2B5EF4-FFF2-40B4-BE49-F238E27FC236}">
              <a16:creationId xmlns:a16="http://schemas.microsoft.com/office/drawing/2014/main" xmlns="" id="{00000000-0008-0000-0800-000011000000}"/>
            </a:ext>
          </a:extLst>
        </xdr:cNvPr>
        <xdr:cNvSpPr txBox="1"/>
      </xdr:nvSpPr>
      <xdr:spPr>
        <a:xfrm>
          <a:off x="6029326" y="7677150"/>
          <a:ext cx="6168389" cy="3600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b="1" i="0" baseline="0">
              <a:solidFill>
                <a:schemeClr val="dk1"/>
              </a:solidFill>
              <a:effectLst/>
              <a:latin typeface="+mn-lt"/>
              <a:ea typeface="+mn-ea"/>
              <a:cs typeface="+mn-cs"/>
            </a:rPr>
            <a:t>Шлюз безопасности </a:t>
          </a:r>
          <a:r>
            <a:rPr lang="en-US" sz="1100" b="1" i="0" baseline="0">
              <a:solidFill>
                <a:schemeClr val="dk1"/>
              </a:solidFill>
              <a:effectLst/>
              <a:latin typeface="+mn-lt"/>
              <a:ea typeface="+mn-ea"/>
              <a:cs typeface="+mn-cs"/>
            </a:rPr>
            <a:t>WAF Dallas Lock. </a:t>
          </a:r>
          <a:r>
            <a:rPr lang="ru-RU" sz="1100" b="1" i="0" baseline="0">
              <a:solidFill>
                <a:schemeClr val="dk1"/>
              </a:solidFill>
              <a:effectLst/>
              <a:latin typeface="+mn-lt"/>
              <a:ea typeface="+mn-ea"/>
              <a:cs typeface="+mn-cs"/>
            </a:rPr>
            <a:t>Рассширенная комплектация для построения отказоустойчивого кластера</a:t>
          </a:r>
          <a:endParaRPr lang="ru-RU">
            <a:effectLst/>
          </a:endParaRPr>
        </a:p>
        <a:p>
          <a:r>
            <a:rPr lang="ru-RU" sz="1100" b="0" i="0" baseline="0">
              <a:solidFill>
                <a:schemeClr val="dk1"/>
              </a:solidFill>
              <a:effectLst/>
              <a:latin typeface="+mn-lt"/>
              <a:ea typeface="+mn-ea"/>
              <a:cs typeface="+mn-cs"/>
            </a:rPr>
            <a:t>В расширенной комплектации возможно формирование отказоустойчивого кластера из нескольких копий изделия. </a:t>
          </a:r>
          <a:endParaRPr lang="ru-RU">
            <a:effectLst/>
          </a:endParaRPr>
        </a:p>
        <a:p>
          <a:endParaRPr lang="ru-RU" sz="1100" b="0" i="0" baseline="0">
            <a:solidFill>
              <a:schemeClr val="dk1"/>
            </a:solidFill>
            <a:effectLst/>
            <a:latin typeface="+mn-lt"/>
            <a:ea typeface="+mn-ea"/>
            <a:cs typeface="+mn-cs"/>
          </a:endParaRPr>
        </a:p>
        <a:p>
          <a:r>
            <a:rPr lang="ru-RU" sz="1100" b="1" i="0" baseline="0">
              <a:solidFill>
                <a:schemeClr val="dk1"/>
              </a:solidFill>
              <a:effectLst/>
              <a:latin typeface="+mn-lt"/>
              <a:ea typeface="+mn-ea"/>
              <a:cs typeface="+mn-cs"/>
            </a:rPr>
            <a:t>Пропускная способность Шлюза безопасности </a:t>
          </a:r>
          <a:r>
            <a:rPr lang="en-US" sz="1100" b="1" i="0" baseline="0">
              <a:solidFill>
                <a:schemeClr val="dk1"/>
              </a:solidFill>
              <a:effectLst/>
              <a:latin typeface="+mn-lt"/>
              <a:ea typeface="+mn-ea"/>
              <a:cs typeface="+mn-cs"/>
            </a:rPr>
            <a:t>WAF Dallas Lock</a:t>
          </a:r>
          <a:endParaRPr lang="ru-RU">
            <a:effectLst/>
          </a:endParaRPr>
        </a:p>
        <a:p>
          <a:r>
            <a:rPr lang="ru-RU" sz="1100" b="0" i="0" baseline="0">
              <a:solidFill>
                <a:schemeClr val="dk1"/>
              </a:solidFill>
              <a:effectLst/>
              <a:latin typeface="+mn-lt"/>
              <a:ea typeface="+mn-ea"/>
              <a:cs typeface="+mn-cs"/>
            </a:rPr>
            <a:t>При отсутствии ограничений на пропускную способность на стороне защищаемого ресурса изделие </a:t>
          </a:r>
          <a:r>
            <a:rPr lang="en-US" sz="1100" b="0" i="0" baseline="0">
              <a:solidFill>
                <a:schemeClr val="dk1"/>
              </a:solidFill>
              <a:effectLst/>
              <a:latin typeface="+mn-lt"/>
              <a:ea typeface="+mn-ea"/>
              <a:cs typeface="+mn-cs"/>
            </a:rPr>
            <a:t>WAF Dallas Lock</a:t>
          </a:r>
          <a:r>
            <a:rPr lang="ru-RU" sz="1100" b="0" i="0" baseline="0">
              <a:solidFill>
                <a:schemeClr val="dk1"/>
              </a:solidFill>
              <a:effectLst/>
              <a:latin typeface="+mn-lt"/>
              <a:ea typeface="+mn-ea"/>
              <a:cs typeface="+mn-cs"/>
            </a:rPr>
            <a:t> обеспечивает установленную пропускную способность, измеряемую в запросах в секунду (</a:t>
          </a:r>
          <a:r>
            <a:rPr lang="en-US" sz="1100" b="0" i="0" baseline="0">
              <a:solidFill>
                <a:schemeClr val="dk1"/>
              </a:solidFill>
              <a:effectLst/>
              <a:latin typeface="+mn-lt"/>
              <a:ea typeface="+mn-ea"/>
              <a:cs typeface="+mn-cs"/>
            </a:rPr>
            <a:t>rps)</a:t>
          </a:r>
          <a:r>
            <a:rPr lang="ru-RU" sz="1100" b="0" i="0" baseline="0">
              <a:solidFill>
                <a:schemeClr val="dk1"/>
              </a:solidFill>
              <a:effectLst/>
              <a:latin typeface="+mn-lt"/>
              <a:ea typeface="+mn-ea"/>
              <a:cs typeface="+mn-cs"/>
            </a:rPr>
            <a:t>: до 1000 </a:t>
          </a:r>
          <a:r>
            <a:rPr lang="en-US" sz="1100" b="0" i="0" baseline="0">
              <a:solidFill>
                <a:schemeClr val="dk1"/>
              </a:solidFill>
              <a:effectLst/>
              <a:latin typeface="+mn-lt"/>
              <a:ea typeface="+mn-ea"/>
              <a:cs typeface="+mn-cs"/>
            </a:rPr>
            <a:t>rps </a:t>
          </a:r>
          <a:r>
            <a:rPr lang="ru-RU" sz="1100" b="0" i="0" baseline="0">
              <a:solidFill>
                <a:schemeClr val="dk1"/>
              </a:solidFill>
              <a:effectLst/>
              <a:latin typeface="+mn-lt"/>
              <a:ea typeface="+mn-ea"/>
              <a:cs typeface="+mn-cs"/>
            </a:rPr>
            <a:t>(</a:t>
          </a:r>
          <a:r>
            <a:rPr lang="en-US" sz="1100" b="1" i="0" baseline="0">
              <a:solidFill>
                <a:schemeClr val="dk1"/>
              </a:solidFill>
              <a:effectLst/>
              <a:latin typeface="+mn-lt"/>
              <a:ea typeface="+mn-ea"/>
              <a:cs typeface="+mn-cs"/>
            </a:rPr>
            <a:t>x=1</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 до 3000 </a:t>
          </a:r>
          <a:r>
            <a:rPr lang="en-US" sz="1100" b="0" i="0" baseline="0">
              <a:solidFill>
                <a:schemeClr val="dk1"/>
              </a:solidFill>
              <a:effectLst/>
              <a:latin typeface="+mn-lt"/>
              <a:ea typeface="+mn-ea"/>
              <a:cs typeface="+mn-cs"/>
            </a:rPr>
            <a:t>rps (</a:t>
          </a:r>
          <a:r>
            <a:rPr lang="en-US" sz="1100" b="1" i="0" baseline="0">
              <a:solidFill>
                <a:schemeClr val="dk1"/>
              </a:solidFill>
              <a:effectLst/>
              <a:latin typeface="+mn-lt"/>
              <a:ea typeface="+mn-ea"/>
              <a:cs typeface="+mn-cs"/>
            </a:rPr>
            <a:t>x=3</a:t>
          </a:r>
          <a:r>
            <a:rPr lang="en-US" sz="1100" b="0" i="0" baseline="0">
              <a:solidFill>
                <a:schemeClr val="dk1"/>
              </a:solidFill>
              <a:effectLst/>
              <a:latin typeface="+mn-lt"/>
              <a:ea typeface="+mn-ea"/>
              <a:cs typeface="+mn-cs"/>
            </a:rPr>
            <a:t>),</a:t>
          </a:r>
          <a:r>
            <a:rPr lang="ru-RU" sz="1100" b="0" i="0" baseline="0">
              <a:solidFill>
                <a:schemeClr val="dk1"/>
              </a:solidFill>
              <a:effectLst/>
              <a:latin typeface="+mn-lt"/>
              <a:ea typeface="+mn-ea"/>
              <a:cs typeface="+mn-cs"/>
            </a:rPr>
            <a:t> без ограничений(</a:t>
          </a:r>
          <a:r>
            <a:rPr lang="en-US" sz="1100" b="1" i="0" baseline="0">
              <a:solidFill>
                <a:schemeClr val="dk1"/>
              </a:solidFill>
              <a:effectLst/>
              <a:latin typeface="+mn-lt"/>
              <a:ea typeface="+mn-ea"/>
              <a:cs typeface="+mn-cs"/>
            </a:rPr>
            <a:t>x=5</a:t>
          </a:r>
          <a:r>
            <a:rPr lang="en-US" sz="1100" b="0" i="0" baseline="0">
              <a:solidFill>
                <a:schemeClr val="dk1"/>
              </a:solidFill>
              <a:effectLst/>
              <a:latin typeface="+mn-lt"/>
              <a:ea typeface="+mn-ea"/>
              <a:cs typeface="+mn-cs"/>
            </a:rPr>
            <a:t>).</a:t>
          </a:r>
          <a:endParaRPr lang="ru-RU">
            <a:effectLst/>
          </a:endParaRPr>
        </a:p>
        <a:p>
          <a:endParaRPr lang="en-US" sz="1100" b="1">
            <a:solidFill>
              <a:schemeClr val="dk1"/>
            </a:solidFill>
            <a:effectLst/>
            <a:latin typeface="+mn-lt"/>
            <a:ea typeface="+mn-ea"/>
            <a:cs typeface="+mn-cs"/>
          </a:endParaRPr>
        </a:p>
        <a:p>
          <a:r>
            <a:rPr lang="ru-RU" sz="1100" b="1" i="0" baseline="0">
              <a:solidFill>
                <a:schemeClr val="dk1"/>
              </a:solidFill>
              <a:effectLst/>
              <a:latin typeface="+mn-lt"/>
              <a:ea typeface="+mn-ea"/>
              <a:cs typeface="+mn-cs"/>
            </a:rPr>
            <a:t>Комплект поставки</a:t>
          </a:r>
          <a:endParaRPr lang="ru-RU">
            <a:effectLst/>
          </a:endParaRPr>
        </a:p>
        <a:p>
          <a:pPr eaLnBrk="1" fontAlgn="auto" latinLnBrk="0" hangingPunct="1"/>
          <a:r>
            <a:rPr lang="ru-RU" sz="1100" b="0" i="0" baseline="0">
              <a:solidFill>
                <a:schemeClr val="dk1"/>
              </a:solidFill>
              <a:effectLst/>
              <a:latin typeface="+mn-lt"/>
              <a:ea typeface="+mn-ea"/>
              <a:cs typeface="+mn-cs"/>
            </a:rPr>
            <a:t>Компакт-диск с ПО </a:t>
          </a:r>
          <a:r>
            <a:rPr lang="en-US" sz="1100" b="0" i="0" baseline="0">
              <a:solidFill>
                <a:schemeClr val="dk1"/>
              </a:solidFill>
              <a:effectLst/>
              <a:latin typeface="+mn-lt"/>
              <a:ea typeface="+mn-ea"/>
              <a:cs typeface="+mn-cs"/>
            </a:rPr>
            <a:t>WAF</a:t>
          </a:r>
          <a:r>
            <a:rPr lang="ru-RU" sz="1100" b="0" i="0" baseline="0">
              <a:solidFill>
                <a:schemeClr val="dk1"/>
              </a:solidFill>
              <a:effectLst/>
              <a:latin typeface="+mn-lt"/>
              <a:ea typeface="+mn-ea"/>
              <a:cs typeface="+mn-cs"/>
            </a:rPr>
            <a:t> </a:t>
          </a:r>
          <a:r>
            <a:rPr lang="en-US" sz="1100" b="0" i="0" baseline="0">
              <a:solidFill>
                <a:schemeClr val="dk1"/>
              </a:solidFill>
              <a:effectLst/>
              <a:latin typeface="+mn-lt"/>
              <a:ea typeface="+mn-ea"/>
              <a:cs typeface="+mn-cs"/>
            </a:rPr>
            <a:t>Dallas Lock</a:t>
          </a:r>
          <a:r>
            <a:rPr lang="ru-RU" sz="1100" b="0" i="0" baseline="0">
              <a:solidFill>
                <a:schemeClr val="dk1"/>
              </a:solidFill>
              <a:effectLst/>
              <a:latin typeface="+mn-lt"/>
              <a:ea typeface="+mn-ea"/>
              <a:cs typeface="+mn-cs"/>
            </a:rPr>
            <a:t> и документацией в электронном виде; краткое руководство; формуляр; копия сертификата.</a:t>
          </a:r>
          <a:endParaRPr lang="ru-RU">
            <a:effectLst/>
          </a:endParaRPr>
        </a:p>
        <a:p>
          <a:r>
            <a:rPr lang="ru-RU" sz="1100" b="0" i="0" baseline="0">
              <a:solidFill>
                <a:schemeClr val="dk1"/>
              </a:solidFill>
              <a:effectLst/>
              <a:latin typeface="+mn-lt"/>
              <a:ea typeface="+mn-ea"/>
              <a:cs typeface="+mn-cs"/>
            </a:rPr>
            <a:t> </a:t>
          </a:r>
          <a:endParaRPr lang="ru-RU">
            <a:effectLst/>
          </a:endParaRPr>
        </a:p>
        <a:p>
          <a:r>
            <a:rPr lang="ru-RU" sz="1100" b="1">
              <a:solidFill>
                <a:schemeClr val="dk1"/>
              </a:solidFill>
              <a:effectLst/>
              <a:latin typeface="+mn-lt"/>
              <a:ea typeface="+mn-ea"/>
              <a:cs typeface="+mn-cs"/>
            </a:rPr>
            <a:t>Техническое сопровождение</a:t>
          </a:r>
          <a:endParaRPr lang="ru-RU">
            <a:effectLst/>
          </a:endParaRPr>
        </a:p>
        <a:p>
          <a:pPr eaLnBrk="1" fontAlgn="auto" latinLnBrk="0" hangingPunct="1"/>
          <a:r>
            <a:rPr lang="ru-RU" sz="1100" b="0" i="0" baseline="0">
              <a:solidFill>
                <a:schemeClr val="dk1"/>
              </a:solidFill>
              <a:effectLst/>
              <a:latin typeface="+mn-lt"/>
              <a:ea typeface="+mn-ea"/>
              <a:cs typeface="+mn-cs"/>
            </a:rPr>
            <a:t>При приобретении срочной лицензии техническое сопровождение включено в стоимость.  Для срочной лицензии на 1 год в артикул добавляется - </a:t>
          </a:r>
          <a:r>
            <a:rPr lang="en-US" sz="1100" b="1" i="0" baseline="0">
              <a:solidFill>
                <a:schemeClr val="dk1"/>
              </a:solidFill>
              <a:effectLst/>
              <a:latin typeface="+mn-lt"/>
              <a:ea typeface="+mn-ea"/>
              <a:cs typeface="+mn-cs"/>
            </a:rPr>
            <a:t>1Y</a:t>
          </a:r>
          <a:r>
            <a:rPr lang="ru-RU" sz="1100" b="0" i="0" baseline="0">
              <a:solidFill>
                <a:schemeClr val="dk1"/>
              </a:solidFill>
              <a:effectLst/>
              <a:latin typeface="+mn-lt"/>
              <a:ea typeface="+mn-ea"/>
              <a:cs typeface="+mn-cs"/>
            </a:rPr>
            <a:t>, для лицензии на 3 года - </a:t>
          </a:r>
          <a:r>
            <a:rPr lang="ru-RU" sz="1100" b="1" i="0" baseline="0">
              <a:solidFill>
                <a:schemeClr val="dk1"/>
              </a:solidFill>
              <a:effectLst/>
              <a:latin typeface="+mn-lt"/>
              <a:ea typeface="+mn-ea"/>
              <a:cs typeface="+mn-cs"/>
            </a:rPr>
            <a:t>3</a:t>
          </a:r>
          <a:r>
            <a:rPr lang="en-US" sz="1100" b="1" i="0" baseline="0">
              <a:solidFill>
                <a:schemeClr val="dk1"/>
              </a:solidFill>
              <a:effectLst/>
              <a:latin typeface="+mn-lt"/>
              <a:ea typeface="+mn-ea"/>
              <a:cs typeface="+mn-cs"/>
            </a:rPr>
            <a:t>Y</a:t>
          </a:r>
          <a:r>
            <a:rPr lang="ru-RU" sz="1100" b="0" i="0" baseline="0">
              <a:solidFill>
                <a:schemeClr val="dk1"/>
              </a:solidFill>
              <a:effectLst/>
              <a:latin typeface="+mn-lt"/>
              <a:ea typeface="+mn-ea"/>
              <a:cs typeface="+mn-cs"/>
            </a:rPr>
            <a:t>.</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 При приобретении права на использование с техническим сопровождением «</a:t>
          </a:r>
          <a:r>
            <a:rPr lang="ru-RU" sz="1100" b="1" i="0" baseline="0">
              <a:solidFill>
                <a:schemeClr val="dk1"/>
              </a:solidFill>
              <a:effectLst/>
              <a:latin typeface="+mn-lt"/>
              <a:ea typeface="+mn-ea"/>
              <a:cs typeface="+mn-cs"/>
            </a:rPr>
            <a:t>24х7</a:t>
          </a:r>
          <a:r>
            <a:rPr lang="ru-RU" sz="1100" b="0" i="0" baseline="0">
              <a:solidFill>
                <a:schemeClr val="dk1"/>
              </a:solidFill>
              <a:effectLst/>
              <a:latin typeface="+mn-lt"/>
              <a:ea typeface="+mn-ea"/>
              <a:cs typeface="+mn-cs"/>
            </a:rPr>
            <a:t>» окончания артикулов </a:t>
          </a:r>
          <a:r>
            <a:rPr lang="en-US" sz="1100" b="1" i="0" baseline="0">
              <a:solidFill>
                <a:schemeClr val="dk1"/>
              </a:solidFill>
              <a:effectLst/>
              <a:latin typeface="+mn-lt"/>
              <a:ea typeface="+mn-ea"/>
              <a:cs typeface="+mn-cs"/>
            </a:rPr>
            <a:t>1Y</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3Y</a:t>
          </a:r>
          <a:r>
            <a:rPr lang="ru-RU" sz="1100" b="0" i="0" baseline="0">
              <a:solidFill>
                <a:schemeClr val="dk1"/>
              </a:solidFill>
              <a:effectLst/>
              <a:latin typeface="+mn-lt"/>
              <a:ea typeface="+mn-ea"/>
              <a:cs typeface="+mn-cs"/>
            </a:rPr>
            <a:t> заменяются на </a:t>
          </a:r>
          <a:r>
            <a:rPr lang="en-US" sz="1100" b="1" i="0" baseline="0">
              <a:solidFill>
                <a:schemeClr val="dk1"/>
              </a:solidFill>
              <a:effectLst/>
              <a:latin typeface="+mn-lt"/>
              <a:ea typeface="+mn-ea"/>
              <a:cs typeface="+mn-cs"/>
            </a:rPr>
            <a:t>1Y247</a:t>
          </a:r>
          <a:r>
            <a:rPr lang="ru-RU"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3Y247</a:t>
          </a:r>
          <a:r>
            <a:rPr lang="en-US" sz="1100" b="0" i="0" baseline="0">
              <a:solidFill>
                <a:schemeClr val="dk1"/>
              </a:solidFill>
              <a:effectLst/>
              <a:latin typeface="+mn-lt"/>
              <a:ea typeface="+mn-ea"/>
              <a:cs typeface="+mn-cs"/>
            </a:rPr>
            <a:t> </a:t>
          </a:r>
          <a:r>
            <a:rPr lang="ru-RU" sz="1100" b="0" i="0" baseline="0">
              <a:solidFill>
                <a:schemeClr val="dk1"/>
              </a:solidFill>
              <a:effectLst/>
              <a:latin typeface="+mn-lt"/>
              <a:ea typeface="+mn-ea"/>
              <a:cs typeface="+mn-cs"/>
            </a:rPr>
            <a:t>соответственно.</a:t>
          </a:r>
          <a:endParaRPr lang="en-US" sz="1100" b="0" i="0" baseline="0">
            <a:solidFill>
              <a:schemeClr val="dk1"/>
            </a:solidFill>
            <a:effectLst/>
            <a:latin typeface="+mn-lt"/>
            <a:ea typeface="+mn-ea"/>
            <a:cs typeface="+mn-cs"/>
          </a:endParaRPr>
        </a:p>
        <a:p>
          <a:endParaRPr lang="ru-RU" sz="1100" b="0" i="0" baseline="0">
            <a:solidFill>
              <a:schemeClr val="dk1"/>
            </a:solidFill>
            <a:effectLst/>
            <a:latin typeface="+mn-lt"/>
            <a:ea typeface="+mn-ea"/>
            <a:cs typeface="+mn-cs"/>
          </a:endParaRPr>
        </a:p>
        <a:p>
          <a:pPr algn="just">
            <a:lnSpc>
              <a:spcPct val="115000"/>
            </a:lnSpc>
            <a:spcAft>
              <a:spcPts val="0"/>
            </a:spcAft>
          </a:pPr>
          <a:endParaRPr lang="ru-RU" sz="1100" b="0">
            <a:solidFill>
              <a:srgbClr val="000000"/>
            </a:solidFill>
            <a:effectLst/>
            <a:latin typeface="+mn-lt"/>
            <a:ea typeface="Calibri"/>
            <a:cs typeface="Times New Roman"/>
          </a:endParaRPr>
        </a:p>
      </xdr:txBody>
    </xdr:sp>
    <xdr:clientData/>
  </xdr:twoCellAnchor>
  <xdr:twoCellAnchor>
    <xdr:from>
      <xdr:col>1</xdr:col>
      <xdr:colOff>60960</xdr:colOff>
      <xdr:row>43</xdr:row>
      <xdr:rowOff>15240</xdr:rowOff>
    </xdr:from>
    <xdr:to>
      <xdr:col>6</xdr:col>
      <xdr:colOff>30480</xdr:colOff>
      <xdr:row>43</xdr:row>
      <xdr:rowOff>83820</xdr:rowOff>
    </xdr:to>
    <xdr:cxnSp macro="">
      <xdr:nvCxnSpPr>
        <xdr:cNvPr id="18" name="Прямая соединительная линия 17">
          <a:extLst>
            <a:ext uri="{FF2B5EF4-FFF2-40B4-BE49-F238E27FC236}">
              <a16:creationId xmlns:a16="http://schemas.microsoft.com/office/drawing/2014/main" xmlns="" id="{00000000-0008-0000-0800-000012000000}"/>
            </a:ext>
          </a:extLst>
        </xdr:cNvPr>
        <xdr:cNvCxnSpPr/>
      </xdr:nvCxnSpPr>
      <xdr:spPr>
        <a:xfrm flipV="1">
          <a:off x="152400" y="12153900"/>
          <a:ext cx="12291060" cy="68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3</xdr:col>
      <xdr:colOff>1762125</xdr:colOff>
      <xdr:row>2</xdr:row>
      <xdr:rowOff>114300</xdr:rowOff>
    </xdr:from>
    <xdr:to>
      <xdr:col>3</xdr:col>
      <xdr:colOff>1947884</xdr:colOff>
      <xdr:row>2</xdr:row>
      <xdr:rowOff>300059</xdr:rowOff>
    </xdr:to>
    <xdr:pic>
      <xdr:nvPicPr>
        <xdr:cNvPr id="11" name="Рисунок 10">
          <a:extLst>
            <a:ext uri="{FF2B5EF4-FFF2-40B4-BE49-F238E27FC236}">
              <a16:creationId xmlns:a16="http://schemas.microsoft.com/office/drawing/2014/main" xmlns="" id="{00000000-0008-0000-0800-00000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7896225" y="1390650"/>
          <a:ext cx="185759" cy="185759"/>
        </a:xfrm>
        <a:prstGeom prst="rect">
          <a:avLst/>
        </a:prstGeom>
      </xdr:spPr>
    </xdr:pic>
    <xdr:clientData/>
  </xdr:twoCellAnchor>
  <xdr:twoCellAnchor>
    <xdr:from>
      <xdr:col>0</xdr:col>
      <xdr:colOff>0</xdr:colOff>
      <xdr:row>2</xdr:row>
      <xdr:rowOff>0</xdr:rowOff>
    </xdr:from>
    <xdr:to>
      <xdr:col>13</xdr:col>
      <xdr:colOff>19050</xdr:colOff>
      <xdr:row>3</xdr:row>
      <xdr:rowOff>9525</xdr:rowOff>
    </xdr:to>
    <xdr:sp macro="" textlink="">
      <xdr:nvSpPr>
        <xdr:cNvPr id="12" name="Прямоугольник 11">
          <a:hlinkClick xmlns:r="http://schemas.openxmlformats.org/officeDocument/2006/relationships" r:id="rId4"/>
          <a:extLst>
            <a:ext uri="{FF2B5EF4-FFF2-40B4-BE49-F238E27FC236}">
              <a16:creationId xmlns:a16="http://schemas.microsoft.com/office/drawing/2014/main" xmlns="" id="{00000000-0008-0000-0800-00000C000000}"/>
            </a:ext>
          </a:extLst>
        </xdr:cNvPr>
        <xdr:cNvSpPr/>
      </xdr:nvSpPr>
      <xdr:spPr>
        <a:xfrm>
          <a:off x="0" y="1276350"/>
          <a:ext cx="12382500"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
      <sheetName val="items"/>
    </sheetNames>
    <sheetDataSet>
      <sheetData sheetId="0"/>
      <sheetData sheetId="1">
        <row r="1">
          <cell r="B1" t="str">
            <v>до 10</v>
          </cell>
        </row>
        <row r="2">
          <cell r="A2" t="str">
            <v>Dallas Lock  Linux. Право на использование (СЗИ НСД)</v>
          </cell>
        </row>
        <row r="3">
          <cell r="A3" t="str">
            <v>Dallas Lock  Linux (СЗИ НСД): продление технического сопровождения (3 года на 1 рабочую станцию,сервер). Основной пакет</v>
          </cell>
        </row>
        <row r="4">
          <cell r="A4" t="str">
            <v>Dallas Lock 8.0. Сертифицированный комплект для установки</v>
          </cell>
        </row>
        <row r="5">
          <cell r="A5" t="str">
            <v>Dallas Lock 8.0-С. Право на использование (СЗИ НСД)</v>
          </cell>
        </row>
        <row r="6">
          <cell r="A6" t="str">
            <v>Dallas Lock  8.0-C (СЗИ НСД): продление технического сопровождения (3 года на 1 рабочую станцию,сервер). Основной пакет</v>
          </cell>
        </row>
        <row r="7">
          <cell r="A7" t="str">
            <v>Dallas Lock 8.0-К. Право на использование (СЗИ НСД, СКН)</v>
          </cell>
        </row>
        <row r="8">
          <cell r="A8" t="str">
            <v>Dallas Lock  8.0-K (СЗИ НСД, СКН): продление технического сопровождения (3 года на 1 рабочую станцию,сервер). Основной пакет</v>
          </cell>
        </row>
        <row r="9">
          <cell r="A9" t="str">
            <v>Dallas Lock 8.0-К с модулем межсетевого экрана. Право на использование (СЗИ НСД, СКН, МЭ)</v>
          </cell>
        </row>
        <row r="10">
          <cell r="A10" t="str">
            <v>Dallas Lock  8.0-K (СЗИ НСД, СКН, МЭ): продление технического сопровождения (3 года на 1 рабочую станцию,сервер). Основной пакет</v>
          </cell>
        </row>
        <row r="11">
          <cell r="A11" t="str">
            <v>Dallas Lock 8.0-К с модулем межсетевого экрана. Право на использование (СЗИ НСД, СКН, МЭ). Обновление</v>
          </cell>
        </row>
        <row r="12">
          <cell r="A12" t="str">
            <v>Модуль межсетевого экрана для Dallas Lock 8.0-К. Право на использование (МЭ)</v>
          </cell>
        </row>
        <row r="13">
          <cell r="A13" t="str">
            <v>Терминальное подключение для Dallas Lock 8.0. Право на использование</v>
          </cell>
        </row>
        <row r="14">
          <cell r="A14" t="str">
            <v>Терминальное подключение для Dallas Lock  8.0: продление технического сопровождения (3 года на 1 рабочую станцию,сервер). Основной пакет</v>
          </cell>
        </row>
        <row r="15">
          <cell r="A15" t="str">
            <v>Dallas Lock 8.0. Сертифицированный комплект для установки</v>
          </cell>
        </row>
        <row r="16">
          <cell r="A16" t="str">
            <v xml:space="preserve">Сервер безопасности для Dallas Lock 8.0-С. Право на использование </v>
          </cell>
        </row>
        <row r="17">
          <cell r="A17" t="str">
            <v>Сервер безопасности для Dallas Lock 8.0-C: продление технического сопровождения (3 года). Основной пакет</v>
          </cell>
        </row>
        <row r="18">
          <cell r="A18" t="str">
            <v xml:space="preserve">Сервер безопасности для Dallas Lock 8.0-К. Право на использование </v>
          </cell>
        </row>
        <row r="19">
          <cell r="A19" t="str">
            <v>Сервер безопасности для Dallas Lock 8.0-K: продление технического сопровождения (3 года). Основной пакет</v>
          </cell>
        </row>
        <row r="20">
          <cell r="A20" t="str">
            <v>Сервер лицензий для Dallas Lock 8.0-К. Право на использование для управления Dallas Lock 8.0-К (1 терминальный сервер, без возможности управления доменами)</v>
          </cell>
        </row>
        <row r="21">
          <cell r="A21" t="str">
            <v>Сервер лицензий для Dallas Lock 8.0-К (1 терминальный сервер, без возможности управления доменами): продление технического сопровождения (3 года). Основной пакет</v>
          </cell>
        </row>
        <row r="22">
          <cell r="A22" t="str">
            <v>Сервер лицензий для Dallas Lock 8.0-К. Право на использование для управления Dallas Lock 8.0-К (5 терминальных серверов, без возможности управления доменами)</v>
          </cell>
        </row>
        <row r="23">
          <cell r="A23" t="str">
            <v>Сервер лицензий для Dallas Lock 8.0-К (5 терминальных серверов, без возможности управления доменами): продление технического сопровождения (1 год). Основной пакет</v>
          </cell>
        </row>
        <row r="24">
          <cell r="A24" t="str">
            <v>Сервер лицензий для Dallas Lock 8.0-К. Право на использование для управления Dallas Lock 8.0-К ( 5 доменов безопасности, 5 терминальных серверов)</v>
          </cell>
        </row>
        <row r="25">
          <cell r="A25" t="str">
            <v>Сервер лицензий для Dallas Lock 8.0-К (5 доменов безопасности, 5 терминальных серверов): продление технического сопровождения (3 года). Основной пакет</v>
          </cell>
        </row>
        <row r="26">
          <cell r="A26" t="str">
            <v>Сервер лицензий для Dallas Lock 8.0-К. Право на использование для управления Dallas Lock 8.0-К (50 доменов безопасности, 50 терминальных серверов)</v>
          </cell>
        </row>
        <row r="27">
          <cell r="A27" t="str">
            <v>Сервер лицензий для Dallas Lock 8.0-К (50 доменов безопасности, 50 терминальных серверов): продление технического сопровождения (3 года). Основной пакет</v>
          </cell>
        </row>
        <row r="28">
          <cell r="A28" t="str">
            <v>Сервер лицензий для Dallas Lock 8.0-К. Право на использование для управления Dallas Lock 8.0-К (без ограничений по количеству доменов безопасности и по количеству терминальных серверов)</v>
          </cell>
        </row>
        <row r="29">
          <cell r="A29" t="str">
            <v>Сервер лицензий для Dallas Lock 8.0-К (50 доменов безопасности, 50 терминальных серверов): продление технического сопровождения (3 года). Основной пакет</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4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dallaslock.ru/products/szi-nsd-dallas-lock/szi-ot-nsd-dallas-lock-8-0-s/" TargetMode="External"/><Relationship Id="rId7" Type="http://schemas.openxmlformats.org/officeDocument/2006/relationships/hyperlink" Target="https://dallaslock.ru/products/szi-nsd-dallas-lock-linux/" TargetMode="External"/><Relationship Id="rId2" Type="http://schemas.openxmlformats.org/officeDocument/2006/relationships/hyperlink" Target="https://dallaslock.ru/products/szi-vi-dallas-lock/" TargetMode="External"/><Relationship Id="rId1" Type="http://schemas.openxmlformats.org/officeDocument/2006/relationships/hyperlink" Target="https://dallaslock.ru/products/sdz-dallas-lock/" TargetMode="External"/><Relationship Id="rId6" Type="http://schemas.openxmlformats.org/officeDocument/2006/relationships/hyperlink" Target="https://dallaslock.ru/products/waf-dallas-lock/" TargetMode="External"/><Relationship Id="rId5" Type="http://schemas.openxmlformats.org/officeDocument/2006/relationships/hyperlink" Target="https://dallaslock.ru/products/edinyy-tsentr-upravleniya/" TargetMode="External"/><Relationship Id="rId4" Type="http://schemas.openxmlformats.org/officeDocument/2006/relationships/hyperlink" Target="https://dallaslock.ru/products/szi-dallas-lock-8-0/szi-ot-nsd-dallas-lock-8-0-k/" TargetMode="External"/><Relationship Id="rId9"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5.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43.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1.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showGridLines="0" showRowColHeaders="0" zoomScale="70" zoomScaleNormal="70" workbookViewId="0"/>
  </sheetViews>
  <sheetFormatPr defaultColWidth="9.140625" defaultRowHeight="16.5" thickTop="1" thickBottom="1" x14ac:dyDescent="0.3"/>
  <cols>
    <col min="1" max="1" width="27.140625" style="9" customWidth="1"/>
    <col min="2" max="2" width="69.85546875" style="9" customWidth="1"/>
    <col min="3" max="9" width="10.7109375" style="9" customWidth="1"/>
    <col min="10" max="10" width="10" style="9" customWidth="1"/>
    <col min="11" max="16384" width="9.140625" style="9"/>
  </cols>
  <sheetData>
    <row r="1" spans="1:10" ht="0.75" customHeight="1" thickTop="1" thickBot="1" x14ac:dyDescent="0.3"/>
    <row r="2" spans="1:10" thickTop="1" thickBot="1" x14ac:dyDescent="0.3">
      <c r="A2" s="102"/>
      <c r="B2" s="102"/>
      <c r="C2" s="102"/>
      <c r="D2" s="102"/>
      <c r="E2" s="102"/>
      <c r="F2" s="102"/>
      <c r="G2" s="102"/>
      <c r="H2" s="102"/>
      <c r="I2" s="102"/>
      <c r="J2" s="102"/>
    </row>
    <row r="8" spans="1:10" ht="5.25" customHeight="1" thickTop="1" thickBot="1" x14ac:dyDescent="0.3"/>
    <row r="9" spans="1:10" thickTop="1" thickBot="1" x14ac:dyDescent="0.3">
      <c r="A9" s="103" t="s">
        <v>202</v>
      </c>
      <c r="B9" s="104"/>
      <c r="C9" s="104"/>
      <c r="D9" s="104"/>
      <c r="E9" s="104"/>
      <c r="F9" s="104"/>
      <c r="G9" s="104"/>
      <c r="H9" s="104"/>
      <c r="I9" s="104"/>
      <c r="J9" s="105"/>
    </row>
    <row r="56" spans="13:13" thickTop="1" thickBot="1" x14ac:dyDescent="0.3">
      <c r="M56"/>
    </row>
  </sheetData>
  <mergeCells count="2">
    <mergeCell ref="A2:J2"/>
    <mergeCell ref="A9:J9"/>
  </mergeCells>
  <pageMargins left="0.59055118110236227" right="0.39370078740157483" top="0.23622047244094491" bottom="0.23622047244094491" header="0.31496062992125984" footer="0.31496062992125984"/>
  <pageSetup paperSize="9" scale="4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Q79"/>
  <sheetViews>
    <sheetView showGridLines="0" showRowColHeaders="0" zoomScaleNormal="100" workbookViewId="0">
      <selection activeCell="U62" sqref="U62"/>
    </sheetView>
  </sheetViews>
  <sheetFormatPr defaultColWidth="9.140625" defaultRowHeight="15" x14ac:dyDescent="0.25"/>
  <cols>
    <col min="1" max="1" width="1.28515625" customWidth="1"/>
    <col min="2" max="2" width="25.85546875" customWidth="1"/>
    <col min="3" max="3" width="59.42578125" customWidth="1"/>
    <col min="4" max="11" width="10.5703125" customWidth="1"/>
    <col min="12" max="12" width="11.5703125" customWidth="1"/>
    <col min="13" max="13" width="1.28515625" customWidth="1"/>
    <col min="15" max="15" width="10.28515625" hidden="1" customWidth="1"/>
    <col min="16" max="16" width="17.28515625" hidden="1" customWidth="1"/>
    <col min="17" max="17" width="30.5703125" hidden="1" customWidth="1"/>
  </cols>
  <sheetData>
    <row r="2" spans="1:17" ht="85.5" customHeight="1" x14ac:dyDescent="0.25"/>
    <row r="3" spans="1:17" ht="29.25" thickBot="1" x14ac:dyDescent="0.5">
      <c r="B3" s="35" t="s">
        <v>148</v>
      </c>
      <c r="C3" s="35"/>
      <c r="D3" s="35"/>
      <c r="E3" s="36"/>
      <c r="F3" s="35"/>
      <c r="G3" s="35"/>
      <c r="H3" s="35"/>
      <c r="I3" s="35"/>
      <c r="J3" s="35"/>
      <c r="K3" s="35"/>
      <c r="L3" s="35"/>
    </row>
    <row r="4" spans="1:17" ht="26.25" customHeight="1" thickTop="1" thickBot="1" x14ac:dyDescent="0.3">
      <c r="B4" s="106" t="s">
        <v>3</v>
      </c>
      <c r="C4" s="108" t="s">
        <v>0</v>
      </c>
      <c r="D4" s="110" t="s">
        <v>53</v>
      </c>
      <c r="E4" s="110"/>
      <c r="F4" s="110"/>
      <c r="G4" s="110"/>
      <c r="H4" s="110"/>
      <c r="I4" s="110"/>
      <c r="J4" s="110"/>
      <c r="K4" s="110"/>
      <c r="L4" s="111"/>
    </row>
    <row r="5" spans="1:17" ht="21.75" customHeight="1" thickTop="1" thickBot="1" x14ac:dyDescent="0.3">
      <c r="B5" s="107"/>
      <c r="C5" s="109"/>
      <c r="D5" s="1" t="s">
        <v>1</v>
      </c>
      <c r="E5" s="1" t="s">
        <v>36</v>
      </c>
      <c r="F5" s="2" t="s">
        <v>37</v>
      </c>
      <c r="G5" s="1" t="s">
        <v>38</v>
      </c>
      <c r="H5" s="2" t="s">
        <v>39</v>
      </c>
      <c r="I5" s="1" t="s">
        <v>40</v>
      </c>
      <c r="J5" s="1" t="s">
        <v>41</v>
      </c>
      <c r="K5" s="1" t="s">
        <v>35</v>
      </c>
      <c r="L5" s="3" t="s">
        <v>34</v>
      </c>
    </row>
    <row r="6" spans="1:17" ht="9.75" customHeight="1" thickTop="1" x14ac:dyDescent="0.25">
      <c r="B6" s="13"/>
      <c r="Q6" t="b">
        <v>0</v>
      </c>
    </row>
    <row r="7" spans="1:17" ht="15.75" thickBot="1" x14ac:dyDescent="0.3">
      <c r="A7" s="19"/>
      <c r="B7" s="20" t="s">
        <v>32</v>
      </c>
      <c r="C7" s="19"/>
      <c r="D7" s="30" t="s">
        <v>43</v>
      </c>
      <c r="E7" s="30"/>
      <c r="F7" s="19"/>
      <c r="G7" s="19"/>
      <c r="H7" s="19"/>
      <c r="I7" s="19"/>
      <c r="J7" s="19"/>
      <c r="K7" s="19"/>
      <c r="L7" s="30" t="s">
        <v>86</v>
      </c>
      <c r="M7" s="19"/>
      <c r="O7" t="b">
        <v>0</v>
      </c>
      <c r="P7" s="37">
        <f>IF(O7,IF(Q7,1.6,1.35),IF(Q7,1.1,1))</f>
        <v>1</v>
      </c>
      <c r="Q7" t="b">
        <v>0</v>
      </c>
    </row>
    <row r="8" spans="1:17" ht="41.25" customHeight="1" thickTop="1" thickBot="1" x14ac:dyDescent="0.3">
      <c r="A8" s="19"/>
      <c r="B8" s="14" t="s">
        <v>56</v>
      </c>
      <c r="C8" s="7" t="s">
        <v>54</v>
      </c>
      <c r="D8" s="5">
        <f>$P$7*12500</f>
        <v>12500</v>
      </c>
      <c r="E8" s="5">
        <f>$P$7*25000</f>
        <v>25000</v>
      </c>
      <c r="F8" s="5">
        <f>$P$7*56250</f>
        <v>56250</v>
      </c>
      <c r="G8" s="5">
        <f>$P$7*100000</f>
        <v>100000</v>
      </c>
      <c r="H8" s="5">
        <f>$P$7*162500</f>
        <v>162500</v>
      </c>
      <c r="I8" s="5">
        <f>$P$7*237500</f>
        <v>237500</v>
      </c>
      <c r="J8" s="49">
        <f>$P$7*312500</f>
        <v>312500</v>
      </c>
      <c r="K8" s="49">
        <f>$P$7*375000</f>
        <v>375000</v>
      </c>
      <c r="L8" s="49">
        <f>$P$7*750000</f>
        <v>750000</v>
      </c>
      <c r="M8" s="19"/>
    </row>
    <row r="9" spans="1:17" ht="41.25" customHeight="1" thickTop="1" thickBot="1" x14ac:dyDescent="0.3">
      <c r="A9" s="19"/>
      <c r="B9" s="27" t="s">
        <v>57</v>
      </c>
      <c r="C9" s="8" t="s">
        <v>55</v>
      </c>
      <c r="D9" s="6">
        <f>$P$7*7500</f>
        <v>7500</v>
      </c>
      <c r="E9" s="6">
        <f>$P$7*15000</f>
        <v>15000</v>
      </c>
      <c r="F9" s="6">
        <f>$P$7*40000</f>
        <v>40000</v>
      </c>
      <c r="G9" s="6">
        <f>$P$7*65000</f>
        <v>65000</v>
      </c>
      <c r="H9" s="6">
        <f>$P$7*100000</f>
        <v>100000</v>
      </c>
      <c r="I9" s="6">
        <f>$P$7*150000</f>
        <v>150000</v>
      </c>
      <c r="J9" s="50">
        <f>$P$7*200000</f>
        <v>200000</v>
      </c>
      <c r="K9" s="50">
        <f>$P$7*250000</f>
        <v>250000</v>
      </c>
      <c r="L9" s="50">
        <f>$P$7*500000</f>
        <v>500000</v>
      </c>
      <c r="M9" s="19"/>
    </row>
    <row r="10" spans="1:17" ht="6.75" customHeight="1" thickTop="1" x14ac:dyDescent="0.25">
      <c r="A10" s="19"/>
      <c r="B10" s="21"/>
      <c r="C10" s="19"/>
      <c r="D10" s="19"/>
      <c r="E10" s="19"/>
      <c r="F10" s="19"/>
      <c r="G10" s="19"/>
      <c r="H10" s="19"/>
      <c r="I10" s="19"/>
      <c r="J10" s="19"/>
      <c r="K10" s="19"/>
      <c r="L10" s="19"/>
      <c r="M10" s="19"/>
    </row>
    <row r="11" spans="1:17" ht="47.25" customHeight="1" x14ac:dyDescent="0.25">
      <c r="B11" s="13"/>
    </row>
    <row r="12" spans="1:17" ht="28.5" x14ac:dyDescent="0.45">
      <c r="B12" s="26" t="s">
        <v>146</v>
      </c>
    </row>
    <row r="13" spans="1:17" x14ac:dyDescent="0.25">
      <c r="B13" t="s">
        <v>58</v>
      </c>
      <c r="M13" s="4"/>
    </row>
    <row r="14" spans="1:17" x14ac:dyDescent="0.25">
      <c r="B14" t="s">
        <v>59</v>
      </c>
      <c r="M14" s="4"/>
    </row>
    <row r="15" spans="1:17" x14ac:dyDescent="0.25">
      <c r="M15" s="4"/>
    </row>
    <row r="16" spans="1:17" ht="28.5" x14ac:dyDescent="0.45">
      <c r="B16" s="26" t="s">
        <v>147</v>
      </c>
    </row>
    <row r="17" spans="1:13" x14ac:dyDescent="0.25">
      <c r="B17" t="s">
        <v>61</v>
      </c>
      <c r="M17" s="4"/>
    </row>
    <row r="18" spans="1:13" x14ac:dyDescent="0.25">
      <c r="B18" t="s">
        <v>62</v>
      </c>
      <c r="M18" s="4"/>
    </row>
    <row r="19" spans="1:13" x14ac:dyDescent="0.25">
      <c r="B19" t="s">
        <v>60</v>
      </c>
      <c r="M19" s="4"/>
    </row>
    <row r="20" spans="1:13" x14ac:dyDescent="0.25">
      <c r="M20" s="4"/>
    </row>
    <row r="21" spans="1:13" x14ac:dyDescent="0.25">
      <c r="A21" s="17"/>
      <c r="B21" s="18" t="s">
        <v>42</v>
      </c>
      <c r="C21" s="17"/>
      <c r="D21" s="17"/>
      <c r="E21" s="17"/>
      <c r="F21" s="17"/>
      <c r="G21" s="17"/>
      <c r="H21" s="17"/>
      <c r="I21" s="17"/>
      <c r="J21" s="17"/>
      <c r="K21" s="17"/>
      <c r="L21" s="17"/>
      <c r="M21" s="17"/>
    </row>
    <row r="22" spans="1:13" x14ac:dyDescent="0.25">
      <c r="M22" s="4"/>
    </row>
    <row r="23" spans="1:13" x14ac:dyDescent="0.25">
      <c r="M23" s="4"/>
    </row>
    <row r="24" spans="1:13" x14ac:dyDescent="0.25">
      <c r="M24" s="4"/>
    </row>
    <row r="25" spans="1:13" x14ac:dyDescent="0.25">
      <c r="M25" s="4"/>
    </row>
    <row r="26" spans="1:13" x14ac:dyDescent="0.25">
      <c r="M26" s="4"/>
    </row>
    <row r="27" spans="1:13" x14ac:dyDescent="0.25">
      <c r="M27" s="4"/>
    </row>
    <row r="28" spans="1:13" x14ac:dyDescent="0.25">
      <c r="M28" s="4"/>
    </row>
    <row r="29" spans="1:13" x14ac:dyDescent="0.25">
      <c r="M29" s="4"/>
    </row>
    <row r="30" spans="1:13" x14ac:dyDescent="0.25">
      <c r="M30" s="4"/>
    </row>
    <row r="31" spans="1:13" x14ac:dyDescent="0.25">
      <c r="M31" s="4"/>
    </row>
    <row r="32" spans="1:13" x14ac:dyDescent="0.25">
      <c r="M32" s="4"/>
    </row>
    <row r="33" spans="13:13" x14ac:dyDescent="0.25">
      <c r="M33" s="4"/>
    </row>
    <row r="34" spans="13:13" x14ac:dyDescent="0.25">
      <c r="M34" s="4"/>
    </row>
    <row r="35" spans="13:13" x14ac:dyDescent="0.25">
      <c r="M35" s="4"/>
    </row>
    <row r="36" spans="13:13" x14ac:dyDescent="0.25">
      <c r="M36" s="4"/>
    </row>
    <row r="37" spans="13:13" x14ac:dyDescent="0.25">
      <c r="M37" s="4"/>
    </row>
    <row r="52" spans="1:15" s="11" customFormat="1" x14ac:dyDescent="0.25">
      <c r="A52"/>
      <c r="B52"/>
      <c r="C52"/>
      <c r="D52"/>
      <c r="E52"/>
      <c r="F52"/>
      <c r="G52"/>
      <c r="H52"/>
      <c r="I52"/>
      <c r="J52"/>
      <c r="K52"/>
      <c r="L52"/>
      <c r="M52"/>
      <c r="N52"/>
      <c r="O52"/>
    </row>
    <row r="53" spans="1:15" s="11" customFormat="1" x14ac:dyDescent="0.25">
      <c r="A53"/>
      <c r="B53"/>
      <c r="C53"/>
      <c r="D53"/>
      <c r="E53"/>
      <c r="F53"/>
      <c r="G53"/>
      <c r="H53"/>
      <c r="I53"/>
      <c r="J53"/>
      <c r="K53"/>
      <c r="L53"/>
      <c r="M53"/>
      <c r="N53"/>
      <c r="O53"/>
    </row>
    <row r="64" spans="1:15" ht="28.5" customHeight="1" thickBot="1" x14ac:dyDescent="0.5">
      <c r="B64" s="35" t="s">
        <v>149</v>
      </c>
      <c r="C64" s="35"/>
      <c r="D64" s="26"/>
      <c r="E64" s="65"/>
      <c r="F64" s="26"/>
      <c r="G64" s="26"/>
      <c r="H64" s="26"/>
      <c r="I64" s="26"/>
      <c r="J64" s="26"/>
      <c r="K64" s="26"/>
    </row>
    <row r="65" spans="1:17" ht="46.5" customHeight="1" thickTop="1" thickBot="1" x14ac:dyDescent="0.3">
      <c r="B65" s="66" t="s">
        <v>3</v>
      </c>
      <c r="C65" s="67" t="s">
        <v>0</v>
      </c>
      <c r="D65" s="115" t="s">
        <v>64</v>
      </c>
      <c r="E65" s="146"/>
      <c r="F65" s="146"/>
      <c r="G65" s="146"/>
      <c r="H65" s="146"/>
      <c r="I65" s="146"/>
      <c r="J65" s="146"/>
      <c r="K65" s="146"/>
      <c r="L65" s="116"/>
    </row>
    <row r="66" spans="1:17" ht="8.25" customHeight="1" thickTop="1" x14ac:dyDescent="0.25"/>
    <row r="67" spans="1:17" ht="15.75" thickBot="1" x14ac:dyDescent="0.3">
      <c r="A67" s="19"/>
      <c r="B67" s="20" t="s">
        <v>32</v>
      </c>
      <c r="C67" s="19"/>
      <c r="D67" s="30" t="s">
        <v>43</v>
      </c>
      <c r="E67" s="30"/>
      <c r="F67" s="19"/>
      <c r="G67" s="19"/>
      <c r="H67" s="19"/>
      <c r="I67" s="19"/>
      <c r="J67" s="19"/>
      <c r="K67" s="40"/>
      <c r="L67" s="30" t="s">
        <v>86</v>
      </c>
      <c r="M67" s="19"/>
      <c r="O67" t="b">
        <v>0</v>
      </c>
      <c r="P67" s="37">
        <f>IF(O67,IF(Q67,1.6,1.35),IF(Q67,1.1,1))</f>
        <v>1</v>
      </c>
      <c r="Q67" t="b">
        <v>0</v>
      </c>
    </row>
    <row r="68" spans="1:17" ht="16.5" thickTop="1" thickBot="1" x14ac:dyDescent="0.3">
      <c r="A68" s="19"/>
      <c r="B68" s="38"/>
      <c r="C68" s="151"/>
      <c r="D68" s="152"/>
      <c r="E68" s="152"/>
      <c r="F68" s="152"/>
      <c r="G68" s="152"/>
      <c r="H68" s="152"/>
      <c r="I68" s="150" t="s">
        <v>74</v>
      </c>
      <c r="J68" s="149"/>
      <c r="K68" s="148" t="s">
        <v>75</v>
      </c>
      <c r="L68" s="149"/>
      <c r="M68" s="19"/>
    </row>
    <row r="69" spans="1:17" ht="41.25" customHeight="1" thickTop="1" thickBot="1" x14ac:dyDescent="0.3">
      <c r="A69" s="19"/>
      <c r="B69" s="33" t="s">
        <v>65</v>
      </c>
      <c r="C69" s="144" t="s">
        <v>13</v>
      </c>
      <c r="D69" s="145"/>
      <c r="E69" s="145"/>
      <c r="F69" s="145"/>
      <c r="G69" s="145"/>
      <c r="H69" s="147"/>
      <c r="I69" s="112">
        <f>$P$67*25000</f>
        <v>25000</v>
      </c>
      <c r="J69" s="114"/>
      <c r="K69" s="112">
        <f>$P$67*30000</f>
        <v>30000</v>
      </c>
      <c r="L69" s="114"/>
      <c r="M69" s="19"/>
    </row>
    <row r="70" spans="1:17" ht="41.25" customHeight="1" thickTop="1" thickBot="1" x14ac:dyDescent="0.3">
      <c r="A70" s="19"/>
      <c r="B70" s="34" t="s">
        <v>66</v>
      </c>
      <c r="C70" s="142" t="s">
        <v>14</v>
      </c>
      <c r="D70" s="143"/>
      <c r="E70" s="143"/>
      <c r="F70" s="143"/>
      <c r="G70" s="143"/>
      <c r="H70" s="143"/>
      <c r="I70" s="123">
        <f>$P$67*100000</f>
        <v>100000</v>
      </c>
      <c r="J70" s="125"/>
      <c r="K70" s="136">
        <f>$P$67*120000</f>
        <v>120000</v>
      </c>
      <c r="L70" s="137"/>
      <c r="M70" s="19"/>
    </row>
    <row r="71" spans="1:17" ht="41.25" customHeight="1" thickTop="1" thickBot="1" x14ac:dyDescent="0.3">
      <c r="A71" s="19"/>
      <c r="B71" s="33" t="s">
        <v>67</v>
      </c>
      <c r="C71" s="144" t="s">
        <v>15</v>
      </c>
      <c r="D71" s="145"/>
      <c r="E71" s="145"/>
      <c r="F71" s="145"/>
      <c r="G71" s="145"/>
      <c r="H71" s="145"/>
      <c r="I71" s="112">
        <f>$P$67*25000</f>
        <v>25000</v>
      </c>
      <c r="J71" s="114"/>
      <c r="K71" s="112">
        <f>$P$67*30000</f>
        <v>30000</v>
      </c>
      <c r="L71" s="114"/>
      <c r="M71" s="19"/>
    </row>
    <row r="72" spans="1:17" ht="41.25" customHeight="1" thickTop="1" thickBot="1" x14ac:dyDescent="0.3">
      <c r="A72" s="19"/>
      <c r="B72" s="34" t="s">
        <v>68</v>
      </c>
      <c r="C72" s="142" t="s">
        <v>16</v>
      </c>
      <c r="D72" s="143"/>
      <c r="E72" s="143"/>
      <c r="F72" s="143"/>
      <c r="G72" s="143"/>
      <c r="H72" s="143"/>
      <c r="I72" s="123">
        <f>$P$67*400000</f>
        <v>400000</v>
      </c>
      <c r="J72" s="125"/>
      <c r="K72" s="138">
        <f>$P$67*480000</f>
        <v>480000</v>
      </c>
      <c r="L72" s="139"/>
      <c r="M72" s="19"/>
    </row>
    <row r="73" spans="1:17" ht="41.25" customHeight="1" thickTop="1" thickBot="1" x14ac:dyDescent="0.3">
      <c r="A73" s="19"/>
      <c r="B73" s="33" t="s">
        <v>69</v>
      </c>
      <c r="C73" s="144" t="s">
        <v>71</v>
      </c>
      <c r="D73" s="145"/>
      <c r="E73" s="145"/>
      <c r="F73" s="145"/>
      <c r="G73" s="145"/>
      <c r="H73" s="145"/>
      <c r="I73" s="112">
        <f>$P$67*800000</f>
        <v>800000</v>
      </c>
      <c r="J73" s="114"/>
      <c r="K73" s="112">
        <f>$P$67*1000000</f>
        <v>1000000</v>
      </c>
      <c r="L73" s="114"/>
      <c r="M73" s="19"/>
    </row>
    <row r="74" spans="1:17" ht="41.25" customHeight="1" thickTop="1" thickBot="1" x14ac:dyDescent="0.3">
      <c r="A74" s="19"/>
      <c r="B74" s="34" t="s">
        <v>70</v>
      </c>
      <c r="C74" s="142" t="s">
        <v>17</v>
      </c>
      <c r="D74" s="143"/>
      <c r="E74" s="143"/>
      <c r="F74" s="143"/>
      <c r="G74" s="143"/>
      <c r="H74" s="143"/>
      <c r="I74" s="123">
        <f>$P$67*1600000</f>
        <v>1600000</v>
      </c>
      <c r="J74" s="125"/>
      <c r="K74" s="140">
        <f>$P$67*2000000</f>
        <v>2000000</v>
      </c>
      <c r="L74" s="141"/>
      <c r="M74" s="19"/>
    </row>
    <row r="75" spans="1:17" ht="6.75" customHeight="1" thickTop="1" x14ac:dyDescent="0.25">
      <c r="A75" s="19"/>
      <c r="B75" s="21"/>
      <c r="C75" s="19"/>
      <c r="D75" s="19"/>
      <c r="E75" s="19"/>
      <c r="F75" s="19"/>
      <c r="G75" s="19"/>
      <c r="H75" s="19"/>
      <c r="I75" s="19"/>
      <c r="J75" s="19"/>
      <c r="K75" s="19"/>
      <c r="L75" s="19"/>
      <c r="M75" s="19"/>
    </row>
    <row r="79" spans="1:17" x14ac:dyDescent="0.25">
      <c r="A79" s="17"/>
      <c r="B79" s="18" t="s">
        <v>42</v>
      </c>
      <c r="C79" s="17"/>
      <c r="D79" s="17"/>
      <c r="E79" s="17"/>
      <c r="F79" s="17"/>
      <c r="G79" s="17"/>
      <c r="H79" s="17"/>
      <c r="I79" s="17"/>
      <c r="J79" s="17"/>
      <c r="K79" s="17"/>
      <c r="L79" s="17"/>
      <c r="M79" s="17"/>
    </row>
  </sheetData>
  <mergeCells count="25">
    <mergeCell ref="B4:B5"/>
    <mergeCell ref="C4:C5"/>
    <mergeCell ref="D4:L4"/>
    <mergeCell ref="D65:L65"/>
    <mergeCell ref="C69:H69"/>
    <mergeCell ref="K68:L68"/>
    <mergeCell ref="K69:L69"/>
    <mergeCell ref="I69:J69"/>
    <mergeCell ref="I68:J68"/>
    <mergeCell ref="C68:H68"/>
    <mergeCell ref="C70:H70"/>
    <mergeCell ref="C71:H71"/>
    <mergeCell ref="C72:H72"/>
    <mergeCell ref="C73:H73"/>
    <mergeCell ref="C74:H74"/>
    <mergeCell ref="K70:L70"/>
    <mergeCell ref="K71:L71"/>
    <mergeCell ref="K72:L72"/>
    <mergeCell ref="K73:L73"/>
    <mergeCell ref="K74:L74"/>
    <mergeCell ref="I70:J70"/>
    <mergeCell ref="I71:J71"/>
    <mergeCell ref="I72:J72"/>
    <mergeCell ref="I73:J73"/>
    <mergeCell ref="I74:J74"/>
  </mergeCells>
  <conditionalFormatting sqref="A7:M7 A8:A10 M8:M10 B10:L10">
    <cfRule type="expression" dxfId="2" priority="3">
      <formula>$P$7&lt;&gt;1</formula>
    </cfRule>
  </conditionalFormatting>
  <conditionalFormatting sqref="A67:M67 A68:A74 M68:M75 A75:L75">
    <cfRule type="expression" dxfId="1" priority="1">
      <formula>$P$67&gt;1</formula>
    </cfRule>
  </conditionalFormatting>
  <pageMargins left="0.59055118110236227" right="0.39370078740157483" top="0.23622047244094491" bottom="0.23622047244094491" header="0.31496062992125984" footer="0.31496062992125984"/>
  <pageSetup paperSize="9" scale="48" orientation="portrait" r:id="rId1"/>
  <ignoredErrors>
    <ignoredError sqref="P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3752850</xdr:colOff>
                    <xdr:row>5</xdr:row>
                    <xdr:rowOff>85725</xdr:rowOff>
                  </from>
                  <to>
                    <xdr:col>3</xdr:col>
                    <xdr:colOff>0</xdr:colOff>
                    <xdr:row>7</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533400</xdr:colOff>
                    <xdr:row>5</xdr:row>
                    <xdr:rowOff>95250</xdr:rowOff>
                  </from>
                  <to>
                    <xdr:col>11</xdr:col>
                    <xdr:colOff>76200</xdr:colOff>
                    <xdr:row>7</xdr:row>
                    <xdr:rowOff>9525</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2</xdr:col>
                    <xdr:colOff>3762375</xdr:colOff>
                    <xdr:row>65</xdr:row>
                    <xdr:rowOff>76200</xdr:rowOff>
                  </from>
                  <to>
                    <xdr:col>3</xdr:col>
                    <xdr:colOff>9525</xdr:colOff>
                    <xdr:row>67</xdr:row>
                    <xdr:rowOff>19050</xdr:rowOff>
                  </to>
                </anchor>
              </controlPr>
            </control>
          </mc:Choice>
        </mc:AlternateContent>
        <mc:AlternateContent xmlns:mc="http://schemas.openxmlformats.org/markup-compatibility/2006">
          <mc:Choice Requires="x14">
            <control shapeId="14342" r:id="rId7" name="Check Box 6">
              <controlPr defaultSize="0" autoFill="0" autoLine="0" autoPict="0">
                <anchor moveWithCells="1">
                  <from>
                    <xdr:col>10</xdr:col>
                    <xdr:colOff>457200</xdr:colOff>
                    <xdr:row>65</xdr:row>
                    <xdr:rowOff>76200</xdr:rowOff>
                  </from>
                  <to>
                    <xdr:col>11</xdr:col>
                    <xdr:colOff>19050</xdr:colOff>
                    <xdr:row>67</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Q38"/>
  <sheetViews>
    <sheetView zoomScaleNormal="100" workbookViewId="0">
      <selection activeCell="A16" sqref="A16:XFD16"/>
    </sheetView>
  </sheetViews>
  <sheetFormatPr defaultColWidth="9.140625" defaultRowHeight="15" x14ac:dyDescent="0.25"/>
  <cols>
    <col min="1" max="1" width="1.28515625" customWidth="1"/>
    <col min="2" max="2" width="27.140625" customWidth="1"/>
    <col min="3" max="3" width="58.5703125" customWidth="1"/>
    <col min="4" max="8" width="10.7109375" customWidth="1"/>
    <col min="9" max="9" width="8.5703125" customWidth="1"/>
    <col min="10" max="10" width="16.7109375" customWidth="1"/>
    <col min="11" max="11" width="16.5703125" customWidth="1"/>
    <col min="12" max="12" width="1.28515625" customWidth="1"/>
    <col min="15" max="17" width="9.140625" hidden="1" customWidth="1"/>
  </cols>
  <sheetData>
    <row r="2" spans="1:17" ht="85.5" customHeight="1" x14ac:dyDescent="0.45">
      <c r="B2" s="26"/>
      <c r="C2" s="26"/>
      <c r="D2" s="26"/>
      <c r="E2" s="26"/>
      <c r="F2" s="26"/>
      <c r="G2" s="26"/>
      <c r="H2" s="26"/>
      <c r="I2" s="26"/>
      <c r="J2" s="26"/>
      <c r="K2" s="26"/>
    </row>
    <row r="3" spans="1:17" ht="28.5" customHeight="1" thickBot="1" x14ac:dyDescent="0.5">
      <c r="B3" s="35" t="s">
        <v>63</v>
      </c>
      <c r="C3" s="35"/>
      <c r="D3" s="35"/>
      <c r="E3" s="36" t="s">
        <v>72</v>
      </c>
      <c r="F3" s="35"/>
      <c r="G3" s="35"/>
      <c r="H3" s="35"/>
      <c r="I3" s="35"/>
      <c r="J3" s="35"/>
      <c r="K3" s="35"/>
    </row>
    <row r="4" spans="1:17" ht="46.5" customHeight="1" thickTop="1" x14ac:dyDescent="0.25">
      <c r="B4" s="31" t="s">
        <v>3</v>
      </c>
      <c r="C4" s="32" t="s">
        <v>0</v>
      </c>
      <c r="D4" s="154" t="s">
        <v>64</v>
      </c>
      <c r="E4" s="155"/>
      <c r="F4" s="155"/>
      <c r="G4" s="155"/>
      <c r="H4" s="155"/>
      <c r="I4" s="155"/>
      <c r="J4" s="155"/>
      <c r="K4" s="156"/>
    </row>
    <row r="5" spans="1:17" ht="9.75" customHeight="1" x14ac:dyDescent="0.25">
      <c r="B5" s="13"/>
    </row>
    <row r="6" spans="1:17" ht="15.75" thickBot="1" x14ac:dyDescent="0.3">
      <c r="A6" s="19"/>
      <c r="B6" s="20" t="s">
        <v>32</v>
      </c>
      <c r="C6" s="19"/>
      <c r="D6" s="30" t="s">
        <v>43</v>
      </c>
      <c r="E6" s="30"/>
      <c r="F6" s="19"/>
      <c r="G6" s="19"/>
      <c r="H6" s="19"/>
      <c r="I6" s="19"/>
      <c r="J6" s="19"/>
      <c r="K6" s="40" t="s">
        <v>86</v>
      </c>
      <c r="L6" s="19"/>
      <c r="O6" t="b">
        <v>1</v>
      </c>
      <c r="P6" s="37">
        <f>IF(O6,IF(Q6,1.6,1.35),IF(Q6,1.1,1))</f>
        <v>1.6</v>
      </c>
      <c r="Q6" t="b">
        <v>1</v>
      </c>
    </row>
    <row r="7" spans="1:17" ht="16.5" thickTop="1" thickBot="1" x14ac:dyDescent="0.3">
      <c r="A7" s="19"/>
      <c r="B7" s="38"/>
      <c r="C7" s="157"/>
      <c r="D7" s="158"/>
      <c r="E7" s="158"/>
      <c r="F7" s="158"/>
      <c r="G7" s="158"/>
      <c r="H7" s="158"/>
      <c r="I7" s="159"/>
      <c r="J7" s="39" t="s">
        <v>74</v>
      </c>
      <c r="K7" s="39" t="s">
        <v>75</v>
      </c>
      <c r="L7" s="19"/>
    </row>
    <row r="8" spans="1:17" ht="41.25" customHeight="1" thickTop="1" thickBot="1" x14ac:dyDescent="0.3">
      <c r="A8" s="19"/>
      <c r="B8" s="33" t="s">
        <v>65</v>
      </c>
      <c r="C8" s="144" t="s">
        <v>13</v>
      </c>
      <c r="D8" s="145"/>
      <c r="E8" s="145"/>
      <c r="F8" s="145"/>
      <c r="G8" s="145"/>
      <c r="H8" s="145"/>
      <c r="I8" s="147"/>
      <c r="J8" s="10">
        <f>$P$6*25000</f>
        <v>40000</v>
      </c>
      <c r="K8" s="10">
        <f>$P$6*30000</f>
        <v>48000</v>
      </c>
      <c r="L8" s="19"/>
    </row>
    <row r="9" spans="1:17" ht="41.25" customHeight="1" thickTop="1" thickBot="1" x14ac:dyDescent="0.3">
      <c r="A9" s="19"/>
      <c r="B9" s="34" t="s">
        <v>66</v>
      </c>
      <c r="C9" s="142" t="s">
        <v>14</v>
      </c>
      <c r="D9" s="143"/>
      <c r="E9" s="143"/>
      <c r="F9" s="143"/>
      <c r="G9" s="143"/>
      <c r="H9" s="143"/>
      <c r="I9" s="153"/>
      <c r="J9" s="5">
        <f>$P$6*100000</f>
        <v>160000</v>
      </c>
      <c r="K9" s="12">
        <f>$P$6*120000</f>
        <v>192000</v>
      </c>
      <c r="L9" s="19"/>
    </row>
    <row r="10" spans="1:17" ht="41.25" customHeight="1" thickTop="1" thickBot="1" x14ac:dyDescent="0.3">
      <c r="A10" s="19"/>
      <c r="B10" s="33" t="s">
        <v>67</v>
      </c>
      <c r="C10" s="144" t="s">
        <v>15</v>
      </c>
      <c r="D10" s="145"/>
      <c r="E10" s="145"/>
      <c r="F10" s="145"/>
      <c r="G10" s="145"/>
      <c r="H10" s="145"/>
      <c r="I10" s="147"/>
      <c r="J10" s="10">
        <f>$P$6*25000</f>
        <v>40000</v>
      </c>
      <c r="K10" s="10">
        <f>$P$6*30000</f>
        <v>48000</v>
      </c>
      <c r="L10" s="19"/>
    </row>
    <row r="11" spans="1:17" ht="41.25" customHeight="1" thickTop="1" thickBot="1" x14ac:dyDescent="0.3">
      <c r="A11" s="19"/>
      <c r="B11" s="34" t="s">
        <v>68</v>
      </c>
      <c r="C11" s="142" t="s">
        <v>16</v>
      </c>
      <c r="D11" s="143"/>
      <c r="E11" s="143"/>
      <c r="F11" s="143"/>
      <c r="G11" s="143"/>
      <c r="H11" s="143"/>
      <c r="I11" s="153"/>
      <c r="J11" s="5">
        <f>$P$6*400000</f>
        <v>640000</v>
      </c>
      <c r="K11" s="12">
        <f>$P$6*480000</f>
        <v>768000</v>
      </c>
      <c r="L11" s="19"/>
    </row>
    <row r="12" spans="1:17" ht="41.25" customHeight="1" thickTop="1" thickBot="1" x14ac:dyDescent="0.3">
      <c r="A12" s="19"/>
      <c r="B12" s="33" t="s">
        <v>69</v>
      </c>
      <c r="C12" s="144" t="s">
        <v>71</v>
      </c>
      <c r="D12" s="145"/>
      <c r="E12" s="145"/>
      <c r="F12" s="145"/>
      <c r="G12" s="145"/>
      <c r="H12" s="145"/>
      <c r="I12" s="147"/>
      <c r="J12" s="10">
        <f>$P$6*800000</f>
        <v>1280000</v>
      </c>
      <c r="K12" s="10">
        <f>$P$6*1000000</f>
        <v>1600000</v>
      </c>
      <c r="L12" s="19"/>
    </row>
    <row r="13" spans="1:17" ht="41.25" customHeight="1" thickTop="1" thickBot="1" x14ac:dyDescent="0.3">
      <c r="A13" s="19"/>
      <c r="B13" s="34" t="s">
        <v>70</v>
      </c>
      <c r="C13" s="142" t="s">
        <v>17</v>
      </c>
      <c r="D13" s="143"/>
      <c r="E13" s="143"/>
      <c r="F13" s="143"/>
      <c r="G13" s="143"/>
      <c r="H13" s="143"/>
      <c r="I13" s="153"/>
      <c r="J13" s="5">
        <f>$P$6*1600000</f>
        <v>2560000</v>
      </c>
      <c r="K13" s="12">
        <f>$P$6*2000000</f>
        <v>3200000</v>
      </c>
      <c r="L13" s="19"/>
    </row>
    <row r="14" spans="1:17" ht="6.75" customHeight="1" thickTop="1" x14ac:dyDescent="0.25">
      <c r="A14" s="19"/>
      <c r="B14" s="21"/>
      <c r="C14" s="19"/>
      <c r="D14" s="19"/>
      <c r="E14" s="19"/>
      <c r="F14" s="19"/>
      <c r="G14" s="19"/>
      <c r="H14" s="19"/>
      <c r="I14" s="19"/>
      <c r="J14" s="19"/>
      <c r="K14" s="19"/>
      <c r="L14" s="19"/>
    </row>
    <row r="15" spans="1:17" ht="44.25" customHeight="1" x14ac:dyDescent="0.25">
      <c r="M15" s="4"/>
    </row>
    <row r="16" spans="1:17" x14ac:dyDescent="0.25">
      <c r="A16" s="17"/>
      <c r="B16" s="18" t="s">
        <v>42</v>
      </c>
      <c r="C16" s="17"/>
      <c r="D16" s="17"/>
      <c r="E16" s="17"/>
      <c r="F16" s="17"/>
      <c r="G16" s="17"/>
      <c r="H16" s="17"/>
      <c r="I16" s="17"/>
      <c r="J16" s="17"/>
      <c r="K16" s="17"/>
      <c r="L16" s="17"/>
    </row>
    <row r="17" spans="2:12" x14ac:dyDescent="0.25">
      <c r="B17" s="4"/>
      <c r="C17" s="4"/>
      <c r="D17" s="4"/>
      <c r="E17" s="4"/>
      <c r="F17" s="4"/>
      <c r="G17" s="4"/>
      <c r="H17" s="4"/>
      <c r="I17" s="4"/>
      <c r="J17" s="4"/>
      <c r="K17" s="4"/>
    </row>
    <row r="18" spans="2:12" x14ac:dyDescent="0.25">
      <c r="L18" s="4"/>
    </row>
    <row r="19" spans="2:12" x14ac:dyDescent="0.25">
      <c r="L19" s="4"/>
    </row>
    <row r="20" spans="2:12" x14ac:dyDescent="0.25">
      <c r="L20" s="4"/>
    </row>
    <row r="21" spans="2:12" x14ac:dyDescent="0.25">
      <c r="L21" s="4"/>
    </row>
    <row r="22" spans="2:12" x14ac:dyDescent="0.25">
      <c r="L22" s="4"/>
    </row>
    <row r="23" spans="2:12" x14ac:dyDescent="0.25">
      <c r="L23" s="4"/>
    </row>
    <row r="24" spans="2:12" x14ac:dyDescent="0.25">
      <c r="L24" s="4"/>
    </row>
    <row r="25" spans="2:12" x14ac:dyDescent="0.25">
      <c r="L25" s="4"/>
    </row>
    <row r="26" spans="2:12" x14ac:dyDescent="0.25">
      <c r="L26" s="4"/>
    </row>
    <row r="27" spans="2:12" x14ac:dyDescent="0.25">
      <c r="L27" s="4"/>
    </row>
    <row r="28" spans="2:12" x14ac:dyDescent="0.25">
      <c r="L28" s="4"/>
    </row>
    <row r="29" spans="2:12" x14ac:dyDescent="0.25">
      <c r="L29" s="4"/>
    </row>
    <row r="30" spans="2:12" x14ac:dyDescent="0.25">
      <c r="L30" s="4"/>
    </row>
    <row r="31" spans="2:12" x14ac:dyDescent="0.25">
      <c r="L31" s="4"/>
    </row>
    <row r="32" spans="2:12" x14ac:dyDescent="0.25">
      <c r="L32" s="4"/>
    </row>
    <row r="33" spans="12:12" x14ac:dyDescent="0.25">
      <c r="L33" s="4"/>
    </row>
    <row r="34" spans="12:12" x14ac:dyDescent="0.25">
      <c r="L34" s="4"/>
    </row>
    <row r="35" spans="12:12" x14ac:dyDescent="0.25">
      <c r="L35" s="4"/>
    </row>
    <row r="36" spans="12:12" x14ac:dyDescent="0.25">
      <c r="L36" s="4"/>
    </row>
    <row r="37" spans="12:12" x14ac:dyDescent="0.25">
      <c r="L37" s="4"/>
    </row>
    <row r="38" spans="12:12" x14ac:dyDescent="0.25">
      <c r="L38" s="4"/>
    </row>
  </sheetData>
  <mergeCells count="8">
    <mergeCell ref="C11:I11"/>
    <mergeCell ref="C12:I12"/>
    <mergeCell ref="C13:I13"/>
    <mergeCell ref="D4:K4"/>
    <mergeCell ref="C8:I8"/>
    <mergeCell ref="C9:I9"/>
    <mergeCell ref="C10:I10"/>
    <mergeCell ref="C7:I7"/>
  </mergeCells>
  <conditionalFormatting sqref="A6:L6 A7:A14 L7:L14 B14:K14">
    <cfRule type="expression" dxfId="0" priority="1">
      <formula>$P$6&lt;&gt;1</formula>
    </cfRule>
  </conditionalFormatting>
  <pageMargins left="0.59055118110236227" right="0.39370078740157483" top="0.23622047244094491" bottom="0.23622047244094491" header="0.31496062992125984" footer="0.31496062992125984"/>
  <pageSetup paperSize="9" scale="48" orientation="portrait" r:id="rId1"/>
  <ignoredErrors>
    <ignoredError sqref="J9:K9" formula="1"/>
    <ignoredError sqref="P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3695700</xdr:colOff>
                    <xdr:row>4</xdr:row>
                    <xdr:rowOff>85725</xdr:rowOff>
                  </from>
                  <to>
                    <xdr:col>3</xdr:col>
                    <xdr:colOff>0</xdr:colOff>
                    <xdr:row>6</xdr:row>
                    <xdr:rowOff>9525</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10</xdr:col>
                    <xdr:colOff>190500</xdr:colOff>
                    <xdr:row>4</xdr:row>
                    <xdr:rowOff>95250</xdr:rowOff>
                  </from>
                  <to>
                    <xdr:col>10</xdr:col>
                    <xdr:colOff>447675</xdr:colOff>
                    <xdr:row>6</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3"/>
  <sheetViews>
    <sheetView showGridLines="0" showRowColHeaders="0" topLeftCell="A6" zoomScaleNormal="100" workbookViewId="0">
      <selection activeCell="K17" sqref="K17"/>
    </sheetView>
  </sheetViews>
  <sheetFormatPr defaultColWidth="9.140625" defaultRowHeight="15" x14ac:dyDescent="0.25"/>
  <cols>
    <col min="1" max="1" width="1.28515625" customWidth="1"/>
    <col min="2" max="2" width="25.85546875" customWidth="1"/>
    <col min="3" max="3" width="59.42578125" customWidth="1"/>
    <col min="4" max="12" width="10.5703125" customWidth="1"/>
    <col min="13" max="13" width="1.28515625" customWidth="1"/>
    <col min="15" max="18" width="9.140625" hidden="1" customWidth="1"/>
    <col min="19" max="23" width="0" hidden="1" customWidth="1"/>
  </cols>
  <sheetData>
    <row r="2" spans="1:23" ht="85.5" customHeight="1" x14ac:dyDescent="0.25"/>
    <row r="3" spans="1:23" ht="29.25" thickBot="1" x14ac:dyDescent="0.5">
      <c r="B3" s="35" t="s">
        <v>51</v>
      </c>
      <c r="C3" s="35"/>
      <c r="D3" s="35"/>
      <c r="E3" s="35"/>
      <c r="F3" s="35"/>
      <c r="G3" s="35"/>
      <c r="H3" s="35"/>
      <c r="I3" s="35"/>
      <c r="J3" s="35"/>
      <c r="K3" s="35"/>
      <c r="L3" s="35"/>
    </row>
    <row r="4" spans="1:23" ht="26.25" customHeight="1" thickTop="1" thickBot="1" x14ac:dyDescent="0.3">
      <c r="B4" s="106" t="s">
        <v>3</v>
      </c>
      <c r="C4" s="108" t="s">
        <v>0</v>
      </c>
      <c r="D4" s="126" t="s">
        <v>87</v>
      </c>
      <c r="E4" s="126"/>
      <c r="F4" s="126"/>
      <c r="G4" s="126"/>
      <c r="H4" s="126"/>
      <c r="I4" s="126"/>
      <c r="J4" s="126"/>
      <c r="K4" s="126"/>
      <c r="L4" s="127"/>
    </row>
    <row r="5" spans="1:23" ht="21.75" customHeight="1" thickTop="1" thickBot="1" x14ac:dyDescent="0.3">
      <c r="B5" s="107"/>
      <c r="C5" s="109"/>
      <c r="D5" s="1" t="s">
        <v>1</v>
      </c>
      <c r="E5" s="1" t="s">
        <v>36</v>
      </c>
      <c r="F5" s="2" t="s">
        <v>37</v>
      </c>
      <c r="G5" s="1" t="s">
        <v>38</v>
      </c>
      <c r="H5" s="2" t="s">
        <v>39</v>
      </c>
      <c r="I5" s="1" t="s">
        <v>40</v>
      </c>
      <c r="J5" s="1" t="s">
        <v>41</v>
      </c>
      <c r="K5" s="1" t="s">
        <v>35</v>
      </c>
      <c r="L5" s="3" t="s">
        <v>34</v>
      </c>
    </row>
    <row r="6" spans="1:23" ht="9.75" customHeight="1" thickTop="1" x14ac:dyDescent="0.25">
      <c r="B6" s="13"/>
    </row>
    <row r="7" spans="1:23" ht="15.75" thickBot="1" x14ac:dyDescent="0.3">
      <c r="A7" s="19"/>
      <c r="B7" s="20"/>
      <c r="C7" s="19"/>
      <c r="D7" s="19"/>
      <c r="E7" s="19"/>
      <c r="F7" s="19"/>
      <c r="G7" s="19"/>
      <c r="H7" s="19"/>
      <c r="I7" s="19"/>
      <c r="J7" s="19"/>
      <c r="K7" s="19"/>
      <c r="L7" s="19"/>
      <c r="M7" s="19"/>
    </row>
    <row r="8" spans="1:23" ht="40.5" customHeight="1" thickTop="1" thickBot="1" x14ac:dyDescent="0.3">
      <c r="A8" s="19"/>
      <c r="B8" s="33" t="s">
        <v>18</v>
      </c>
      <c r="C8" s="51" t="s">
        <v>19</v>
      </c>
      <c r="D8" s="112" t="s">
        <v>2</v>
      </c>
      <c r="E8" s="113"/>
      <c r="F8" s="113"/>
      <c r="G8" s="113"/>
      <c r="H8" s="113"/>
      <c r="I8" s="113"/>
      <c r="J8" s="113"/>
      <c r="K8" s="113"/>
      <c r="L8" s="114"/>
      <c r="M8" s="19"/>
    </row>
    <row r="9" spans="1:23" ht="40.5" customHeight="1" thickTop="1" thickBot="1" x14ac:dyDescent="0.3">
      <c r="A9" s="19"/>
      <c r="B9" s="34" t="s">
        <v>20</v>
      </c>
      <c r="C9" s="52" t="s">
        <v>21</v>
      </c>
      <c r="D9" s="160">
        <v>6000</v>
      </c>
      <c r="E9" s="161"/>
      <c r="F9" s="161"/>
      <c r="G9" s="161"/>
      <c r="H9" s="161"/>
      <c r="I9" s="161"/>
      <c r="J9" s="161"/>
      <c r="K9" s="161"/>
      <c r="L9" s="162"/>
      <c r="M9" s="19"/>
      <c r="O9" s="160">
        <v>3000</v>
      </c>
      <c r="P9" s="161"/>
      <c r="Q9" s="161"/>
      <c r="R9" s="161"/>
      <c r="S9" s="161"/>
      <c r="T9" s="161"/>
      <c r="U9" s="161"/>
      <c r="V9" s="161"/>
      <c r="W9" s="162"/>
    </row>
    <row r="10" spans="1:23" ht="41.25" customHeight="1" thickTop="1" thickBot="1" x14ac:dyDescent="0.3">
      <c r="A10" s="19"/>
      <c r="B10" s="27" t="s">
        <v>22</v>
      </c>
      <c r="C10" s="8" t="s">
        <v>23</v>
      </c>
      <c r="D10" s="6">
        <v>7000</v>
      </c>
      <c r="E10" s="6">
        <v>6800</v>
      </c>
      <c r="F10" s="6">
        <v>6500</v>
      </c>
      <c r="G10" s="6">
        <v>6000</v>
      </c>
      <c r="H10" s="6">
        <v>5500</v>
      </c>
      <c r="I10" s="6">
        <v>5000</v>
      </c>
      <c r="J10" s="6">
        <v>4500</v>
      </c>
      <c r="K10" s="6">
        <v>4000</v>
      </c>
      <c r="L10" s="6" t="s">
        <v>2</v>
      </c>
      <c r="M10" s="19"/>
      <c r="O10" s="6">
        <v>6000</v>
      </c>
      <c r="P10" s="6">
        <v>5500</v>
      </c>
      <c r="Q10" s="6">
        <v>5000</v>
      </c>
      <c r="R10" s="6">
        <v>4800</v>
      </c>
      <c r="S10" s="6">
        <v>4500</v>
      </c>
      <c r="T10" s="6">
        <v>4000</v>
      </c>
      <c r="U10" s="6">
        <v>3500</v>
      </c>
      <c r="V10" s="6">
        <v>3000</v>
      </c>
      <c r="W10" s="6" t="s">
        <v>2</v>
      </c>
    </row>
    <row r="11" spans="1:23" ht="41.25" customHeight="1" thickTop="1" thickBot="1" x14ac:dyDescent="0.3">
      <c r="A11" s="19"/>
      <c r="B11" s="14" t="s">
        <v>115</v>
      </c>
      <c r="C11" s="7" t="s">
        <v>114</v>
      </c>
      <c r="D11" s="5">
        <v>6000</v>
      </c>
      <c r="E11" s="5">
        <v>5800</v>
      </c>
      <c r="F11" s="5">
        <v>5500</v>
      </c>
      <c r="G11" s="5">
        <v>5000</v>
      </c>
      <c r="H11" s="5">
        <v>4500</v>
      </c>
      <c r="I11" s="5">
        <v>4000</v>
      </c>
      <c r="J11" s="5">
        <v>3500</v>
      </c>
      <c r="K11" s="5">
        <v>3000</v>
      </c>
      <c r="L11" s="5" t="s">
        <v>2</v>
      </c>
      <c r="M11" s="19"/>
      <c r="O11" s="5">
        <v>2000</v>
      </c>
      <c r="P11" s="5">
        <v>1800</v>
      </c>
      <c r="Q11" s="5">
        <v>1700</v>
      </c>
      <c r="R11" s="5">
        <v>1600</v>
      </c>
      <c r="S11" s="5">
        <v>1500</v>
      </c>
      <c r="T11" s="5">
        <v>1300</v>
      </c>
      <c r="U11" s="5">
        <v>1100</v>
      </c>
      <c r="V11" s="5">
        <v>1000</v>
      </c>
      <c r="W11" s="5" t="s">
        <v>2</v>
      </c>
    </row>
    <row r="12" spans="1:23" ht="41.25" customHeight="1" thickTop="1" thickBot="1" x14ac:dyDescent="0.3">
      <c r="A12" s="19"/>
      <c r="B12" s="33" t="s">
        <v>116</v>
      </c>
      <c r="C12" s="51" t="s">
        <v>117</v>
      </c>
      <c r="D12" s="10">
        <v>8000</v>
      </c>
      <c r="E12" s="10">
        <v>7800</v>
      </c>
      <c r="F12" s="10">
        <v>7500</v>
      </c>
      <c r="G12" s="10">
        <v>7000</v>
      </c>
      <c r="H12" s="10">
        <v>6500</v>
      </c>
      <c r="I12" s="10">
        <v>6000</v>
      </c>
      <c r="J12" s="10">
        <v>5500</v>
      </c>
      <c r="K12" s="10">
        <v>5000</v>
      </c>
      <c r="L12" s="10" t="s">
        <v>2</v>
      </c>
      <c r="M12" s="19"/>
      <c r="O12" s="5"/>
      <c r="P12" s="5"/>
      <c r="Q12" s="5"/>
      <c r="R12" s="5"/>
      <c r="S12" s="5"/>
      <c r="T12" s="5"/>
      <c r="U12" s="5"/>
      <c r="V12" s="5"/>
      <c r="W12" s="5"/>
    </row>
    <row r="13" spans="1:23" ht="41.25" customHeight="1" thickTop="1" thickBot="1" x14ac:dyDescent="0.3">
      <c r="A13" s="19"/>
      <c r="B13" s="34" t="s">
        <v>118</v>
      </c>
      <c r="C13" s="52" t="s">
        <v>122</v>
      </c>
      <c r="D13" s="54">
        <v>8000</v>
      </c>
      <c r="E13" s="5">
        <v>7800</v>
      </c>
      <c r="F13" s="5">
        <v>7500</v>
      </c>
      <c r="G13" s="5">
        <v>7000</v>
      </c>
      <c r="H13" s="5">
        <v>6500</v>
      </c>
      <c r="I13" s="5">
        <v>6000</v>
      </c>
      <c r="J13" s="5">
        <v>5500</v>
      </c>
      <c r="K13" s="54">
        <v>5000</v>
      </c>
      <c r="L13" s="54" t="s">
        <v>2</v>
      </c>
      <c r="M13" s="19"/>
      <c r="O13" s="6">
        <v>3000</v>
      </c>
      <c r="P13" s="6">
        <v>2700</v>
      </c>
      <c r="Q13" s="6">
        <v>2600</v>
      </c>
      <c r="R13" s="6">
        <v>2400</v>
      </c>
      <c r="S13" s="6">
        <v>2300</v>
      </c>
      <c r="T13" s="6">
        <v>2000</v>
      </c>
      <c r="U13" s="6">
        <v>1700</v>
      </c>
      <c r="V13" s="6">
        <v>1500</v>
      </c>
      <c r="W13" s="6" t="s">
        <v>2</v>
      </c>
    </row>
    <row r="14" spans="1:23" ht="41.25" customHeight="1" thickTop="1" thickBot="1" x14ac:dyDescent="0.3">
      <c r="A14" s="19"/>
      <c r="B14" s="27" t="s">
        <v>119</v>
      </c>
      <c r="C14" s="8" t="s">
        <v>123</v>
      </c>
      <c r="D14" s="6">
        <v>10000</v>
      </c>
      <c r="E14" s="6">
        <v>9800</v>
      </c>
      <c r="F14" s="6">
        <v>9500</v>
      </c>
      <c r="G14" s="6">
        <v>9000</v>
      </c>
      <c r="H14" s="6">
        <v>8500</v>
      </c>
      <c r="I14" s="6">
        <v>8000</v>
      </c>
      <c r="J14" s="6">
        <v>7500</v>
      </c>
      <c r="K14" s="6">
        <v>7000</v>
      </c>
      <c r="L14" s="6" t="s">
        <v>2</v>
      </c>
      <c r="M14" s="19"/>
      <c r="O14" s="6"/>
      <c r="P14" s="6"/>
      <c r="Q14" s="6"/>
      <c r="R14" s="6"/>
      <c r="S14" s="6"/>
      <c r="T14" s="6"/>
      <c r="U14" s="6"/>
      <c r="V14" s="6"/>
      <c r="W14" s="6"/>
    </row>
    <row r="15" spans="1:23" ht="41.25" customHeight="1" thickTop="1" thickBot="1" x14ac:dyDescent="0.3">
      <c r="A15" s="19"/>
      <c r="B15" s="14" t="s">
        <v>120</v>
      </c>
      <c r="C15" s="7" t="s">
        <v>124</v>
      </c>
      <c r="D15" s="5">
        <v>9000</v>
      </c>
      <c r="E15" s="5">
        <v>8800</v>
      </c>
      <c r="F15" s="5">
        <v>8500</v>
      </c>
      <c r="G15" s="5">
        <v>8000</v>
      </c>
      <c r="H15" s="5">
        <v>7500</v>
      </c>
      <c r="I15" s="5">
        <v>7000</v>
      </c>
      <c r="J15" s="5">
        <v>6500</v>
      </c>
      <c r="K15" s="5">
        <v>6000</v>
      </c>
      <c r="L15" s="5" t="s">
        <v>2</v>
      </c>
      <c r="M15" s="19"/>
      <c r="O15" s="5">
        <v>4000</v>
      </c>
      <c r="P15" s="5">
        <v>3700</v>
      </c>
      <c r="Q15" s="5">
        <v>3600</v>
      </c>
      <c r="R15" s="5">
        <v>3400</v>
      </c>
      <c r="S15" s="5">
        <v>3300</v>
      </c>
      <c r="T15" s="5">
        <v>3000</v>
      </c>
      <c r="U15" s="5">
        <v>2700</v>
      </c>
      <c r="V15" s="5">
        <v>2500</v>
      </c>
      <c r="W15" s="5" t="s">
        <v>2</v>
      </c>
    </row>
    <row r="16" spans="1:23" ht="41.25" customHeight="1" thickTop="1" thickBot="1" x14ac:dyDescent="0.3">
      <c r="A16" s="19"/>
      <c r="B16" s="33" t="s">
        <v>121</v>
      </c>
      <c r="C16" s="51" t="s">
        <v>125</v>
      </c>
      <c r="D16" s="10">
        <v>11000</v>
      </c>
      <c r="E16" s="10">
        <v>10800</v>
      </c>
      <c r="F16" s="10">
        <v>10500</v>
      </c>
      <c r="G16" s="10">
        <v>10000</v>
      </c>
      <c r="H16" s="10">
        <v>9500</v>
      </c>
      <c r="I16" s="10">
        <v>9000</v>
      </c>
      <c r="J16" s="10">
        <v>8500</v>
      </c>
      <c r="K16" s="10">
        <v>8000</v>
      </c>
      <c r="L16" s="10" t="s">
        <v>2</v>
      </c>
      <c r="M16" s="19"/>
      <c r="O16" s="5"/>
      <c r="P16" s="5"/>
      <c r="Q16" s="5"/>
      <c r="R16" s="5"/>
      <c r="S16" s="5"/>
      <c r="T16" s="5"/>
      <c r="U16" s="5"/>
      <c r="V16" s="5"/>
      <c r="W16" s="5"/>
    </row>
    <row r="17" spans="1:23" ht="41.25" customHeight="1" thickTop="1" thickBot="1" x14ac:dyDescent="0.3">
      <c r="A17" s="19"/>
      <c r="B17" s="34" t="s">
        <v>24</v>
      </c>
      <c r="C17" s="52" t="s">
        <v>25</v>
      </c>
      <c r="D17" s="54">
        <v>10000</v>
      </c>
      <c r="E17" s="54">
        <v>12000</v>
      </c>
      <c r="F17" s="54">
        <v>15000</v>
      </c>
      <c r="G17" s="54">
        <v>20000</v>
      </c>
      <c r="H17" s="54">
        <v>25000</v>
      </c>
      <c r="I17" s="54">
        <v>30000</v>
      </c>
      <c r="J17" s="54">
        <v>50000</v>
      </c>
      <c r="K17" s="54">
        <v>100000</v>
      </c>
      <c r="L17" s="54" t="s">
        <v>2</v>
      </c>
      <c r="M17" s="19"/>
      <c r="O17" s="6">
        <v>5000</v>
      </c>
      <c r="P17" s="6">
        <v>6000</v>
      </c>
      <c r="Q17" s="6">
        <v>7000</v>
      </c>
      <c r="R17" s="6">
        <v>8000</v>
      </c>
      <c r="S17" s="6">
        <v>10000</v>
      </c>
      <c r="T17" s="6">
        <v>15000</v>
      </c>
      <c r="U17" s="6">
        <v>25000</v>
      </c>
      <c r="V17" s="6">
        <v>50000</v>
      </c>
      <c r="W17" s="6" t="s">
        <v>2</v>
      </c>
    </row>
    <row r="18" spans="1:23" ht="41.25" customHeight="1" thickTop="1" thickBot="1" x14ac:dyDescent="0.3">
      <c r="A18" s="19"/>
      <c r="B18" s="27" t="s">
        <v>126</v>
      </c>
      <c r="C18" s="8" t="s">
        <v>127</v>
      </c>
      <c r="D18" s="6">
        <v>25000</v>
      </c>
      <c r="E18" s="6">
        <v>30000</v>
      </c>
      <c r="F18" s="6">
        <v>35000</v>
      </c>
      <c r="G18" s="6">
        <v>50000</v>
      </c>
      <c r="H18" s="6">
        <v>65000</v>
      </c>
      <c r="I18" s="6">
        <v>75000</v>
      </c>
      <c r="J18" s="6">
        <v>125000</v>
      </c>
      <c r="K18" s="6">
        <v>250000</v>
      </c>
      <c r="L18" s="6" t="s">
        <v>2</v>
      </c>
      <c r="M18" s="19"/>
      <c r="O18" s="6"/>
      <c r="P18" s="6"/>
      <c r="Q18" s="6"/>
      <c r="R18" s="6"/>
      <c r="S18" s="6"/>
      <c r="T18" s="6"/>
      <c r="U18" s="6"/>
      <c r="V18" s="6"/>
      <c r="W18" s="6"/>
    </row>
    <row r="19" spans="1:23" ht="41.25" customHeight="1" thickTop="1" thickBot="1" x14ac:dyDescent="0.3">
      <c r="A19" s="19"/>
      <c r="B19" s="14" t="s">
        <v>26</v>
      </c>
      <c r="C19" s="7" t="s">
        <v>27</v>
      </c>
      <c r="D19" s="5">
        <v>5000</v>
      </c>
      <c r="E19" s="5">
        <v>6000</v>
      </c>
      <c r="F19" s="5">
        <v>7000</v>
      </c>
      <c r="G19" s="5">
        <v>8000</v>
      </c>
      <c r="H19" s="5">
        <v>10000</v>
      </c>
      <c r="I19" s="5">
        <v>15000</v>
      </c>
      <c r="J19" s="5">
        <v>25000</v>
      </c>
      <c r="K19" s="5">
        <v>50000</v>
      </c>
      <c r="L19" s="5" t="s">
        <v>2</v>
      </c>
      <c r="M19" s="19"/>
      <c r="O19" s="5">
        <v>5000</v>
      </c>
      <c r="P19" s="5">
        <v>6000</v>
      </c>
      <c r="Q19" s="5">
        <v>7000</v>
      </c>
      <c r="R19" s="5">
        <v>8000</v>
      </c>
      <c r="S19" s="5">
        <v>10000</v>
      </c>
      <c r="T19" s="5">
        <v>15000</v>
      </c>
      <c r="U19" s="5">
        <v>25000</v>
      </c>
      <c r="V19" s="5">
        <v>50000</v>
      </c>
      <c r="W19" s="5" t="s">
        <v>2</v>
      </c>
    </row>
    <row r="20" spans="1:23" ht="41.25" customHeight="1" thickTop="1" thickBot="1" x14ac:dyDescent="0.3">
      <c r="A20" s="19"/>
      <c r="B20" s="27" t="s">
        <v>28</v>
      </c>
      <c r="C20" s="8" t="s">
        <v>29</v>
      </c>
      <c r="D20" s="6">
        <v>10000</v>
      </c>
      <c r="E20" s="6">
        <v>12000</v>
      </c>
      <c r="F20" s="6">
        <v>15000</v>
      </c>
      <c r="G20" s="6">
        <v>20000</v>
      </c>
      <c r="H20" s="6">
        <v>25000</v>
      </c>
      <c r="I20" s="6">
        <v>30000</v>
      </c>
      <c r="J20" s="6">
        <v>50000</v>
      </c>
      <c r="K20" s="6">
        <v>100000</v>
      </c>
      <c r="L20" s="6" t="s">
        <v>2</v>
      </c>
      <c r="M20" s="19"/>
      <c r="O20" s="6">
        <v>5000</v>
      </c>
      <c r="P20" s="6">
        <v>6000</v>
      </c>
      <c r="Q20" s="6">
        <v>7000</v>
      </c>
      <c r="R20" s="6">
        <v>8000</v>
      </c>
      <c r="S20" s="6">
        <v>10000</v>
      </c>
      <c r="T20" s="6">
        <v>15000</v>
      </c>
      <c r="U20" s="6">
        <v>25000</v>
      </c>
      <c r="V20" s="6">
        <v>50000</v>
      </c>
    </row>
    <row r="21" spans="1:23" ht="6.75" customHeight="1" thickTop="1" x14ac:dyDescent="0.25">
      <c r="A21" s="19"/>
      <c r="B21" s="21"/>
      <c r="C21" s="19"/>
      <c r="D21" s="19"/>
      <c r="E21" s="19"/>
      <c r="F21" s="19"/>
      <c r="G21" s="19"/>
      <c r="H21" s="19"/>
      <c r="I21" s="19"/>
      <c r="J21" s="19"/>
      <c r="K21" s="19"/>
      <c r="L21" s="19"/>
      <c r="M21" s="19"/>
    </row>
    <row r="22" spans="1:23" ht="44.25" customHeight="1" x14ac:dyDescent="0.25">
      <c r="B22" s="13"/>
    </row>
    <row r="23" spans="1:23" x14ac:dyDescent="0.25">
      <c r="A23" s="17"/>
      <c r="B23" s="18" t="s">
        <v>42</v>
      </c>
      <c r="C23" s="17"/>
      <c r="D23" s="17"/>
      <c r="E23" s="17"/>
      <c r="F23" s="17"/>
      <c r="G23" s="17"/>
      <c r="H23" s="17"/>
      <c r="I23" s="17"/>
      <c r="J23" s="17"/>
      <c r="K23" s="17"/>
      <c r="L23" s="17"/>
      <c r="M23" s="17"/>
    </row>
  </sheetData>
  <mergeCells count="6">
    <mergeCell ref="O9:W9"/>
    <mergeCell ref="B4:B5"/>
    <mergeCell ref="C4:C5"/>
    <mergeCell ref="D4:L4"/>
    <mergeCell ref="D8:L8"/>
    <mergeCell ref="D9:L9"/>
  </mergeCells>
  <pageMargins left="0.59055118110236227" right="0.39370078740157483" top="0.23622047244094491" bottom="0.23622047244094491" header="0.31496062992125984" footer="0.31496062992125984"/>
  <pageSetup paperSize="9" scale="5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showGridLines="0" topLeftCell="A7" zoomScale="70" zoomScaleNormal="70" workbookViewId="0">
      <selection activeCell="E9" sqref="E9"/>
    </sheetView>
  </sheetViews>
  <sheetFormatPr defaultColWidth="9.140625" defaultRowHeight="15" x14ac:dyDescent="0.25"/>
  <cols>
    <col min="1" max="1" width="2.7109375" customWidth="1"/>
    <col min="2" max="2" width="33.7109375" customWidth="1"/>
    <col min="4" max="5" width="9.140625" customWidth="1"/>
  </cols>
  <sheetData>
    <row r="1" spans="1:17" ht="40.5" customHeight="1" x14ac:dyDescent="0.45">
      <c r="A1" s="83"/>
      <c r="B1" s="84" t="s">
        <v>186</v>
      </c>
      <c r="C1" s="79"/>
      <c r="D1" s="79"/>
      <c r="E1" s="90" t="s">
        <v>200</v>
      </c>
      <c r="F1" s="79"/>
      <c r="G1" s="79"/>
      <c r="H1" s="79"/>
      <c r="I1" s="79"/>
      <c r="J1" s="79"/>
      <c r="K1" s="79"/>
      <c r="L1" s="79"/>
      <c r="M1" s="88"/>
      <c r="N1" s="88"/>
      <c r="O1" s="78"/>
      <c r="P1" s="86"/>
      <c r="Q1" s="89" t="s">
        <v>73</v>
      </c>
    </row>
    <row r="2" spans="1:17" ht="141.75" customHeight="1" x14ac:dyDescent="0.25">
      <c r="M2" s="87"/>
      <c r="N2" s="87"/>
    </row>
    <row r="3" spans="1:17" ht="77.25" customHeight="1" x14ac:dyDescent="0.25"/>
    <row r="4" spans="1:17" ht="101.1" customHeight="1" x14ac:dyDescent="0.25"/>
    <row r="5" spans="1:17" ht="24" customHeight="1" x14ac:dyDescent="0.25"/>
    <row r="6" spans="1:17" ht="40.5" customHeight="1" x14ac:dyDescent="0.45">
      <c r="A6" s="83"/>
      <c r="B6" s="84" t="s">
        <v>182</v>
      </c>
      <c r="C6" s="79"/>
      <c r="D6" s="79"/>
      <c r="E6" s="90" t="s">
        <v>200</v>
      </c>
      <c r="F6" s="79"/>
      <c r="G6" s="79"/>
      <c r="H6" s="79"/>
      <c r="I6" s="79"/>
      <c r="J6" s="79"/>
      <c r="K6" s="79"/>
      <c r="L6" s="79"/>
      <c r="M6" s="78"/>
      <c r="N6" s="80"/>
      <c r="O6" s="78"/>
      <c r="P6" s="78"/>
      <c r="Q6" s="90" t="s">
        <v>73</v>
      </c>
    </row>
    <row r="7" spans="1:17" ht="409.6" customHeight="1" x14ac:dyDescent="0.25"/>
    <row r="8" spans="1:17" ht="66" customHeight="1" x14ac:dyDescent="0.25"/>
    <row r="9" spans="1:17" ht="40.5" customHeight="1" x14ac:dyDescent="0.25">
      <c r="A9" s="78"/>
      <c r="B9" s="84" t="s">
        <v>187</v>
      </c>
      <c r="C9" s="84"/>
      <c r="D9" s="84"/>
      <c r="E9" s="101" t="s">
        <v>200</v>
      </c>
      <c r="F9" s="84"/>
      <c r="G9" s="84"/>
      <c r="H9" s="84"/>
      <c r="I9" s="84"/>
      <c r="J9" s="84"/>
      <c r="K9" s="84"/>
      <c r="L9" s="84"/>
      <c r="M9" s="85"/>
      <c r="N9" s="80"/>
      <c r="O9" s="85"/>
      <c r="P9" s="85"/>
      <c r="Q9" s="90" t="s">
        <v>73</v>
      </c>
    </row>
    <row r="10" spans="1:17" ht="313.5" customHeight="1" x14ac:dyDescent="0.25"/>
    <row r="11" spans="1:17" ht="73.5" customHeight="1" x14ac:dyDescent="0.25"/>
    <row r="12" spans="1:17" ht="41.25" customHeight="1" x14ac:dyDescent="0.25">
      <c r="A12" s="78"/>
      <c r="B12" s="84" t="s">
        <v>185</v>
      </c>
      <c r="C12" s="84"/>
      <c r="D12" s="84"/>
      <c r="E12" s="90" t="s">
        <v>200</v>
      </c>
      <c r="F12" s="78"/>
      <c r="G12" s="78"/>
      <c r="H12" s="78"/>
      <c r="I12" s="78"/>
      <c r="J12" s="78"/>
      <c r="K12" s="78"/>
      <c r="L12" s="78"/>
      <c r="M12" s="78"/>
      <c r="N12" s="78"/>
      <c r="O12" s="78"/>
      <c r="P12" s="78"/>
      <c r="Q12" s="90" t="s">
        <v>73</v>
      </c>
    </row>
    <row r="13" spans="1:17" ht="409.5" customHeight="1" x14ac:dyDescent="0.25"/>
    <row r="14" spans="1:17" ht="232.5" customHeight="1" x14ac:dyDescent="0.25"/>
    <row r="15" spans="1:17" ht="41.25" customHeight="1" x14ac:dyDescent="0.25">
      <c r="A15" s="78"/>
      <c r="B15" s="84" t="s">
        <v>184</v>
      </c>
      <c r="C15" s="84"/>
      <c r="D15" s="84"/>
      <c r="E15" s="90" t="s">
        <v>200</v>
      </c>
      <c r="F15" s="78"/>
      <c r="G15" s="78"/>
      <c r="H15" s="78"/>
      <c r="I15" s="78"/>
      <c r="J15" s="78"/>
      <c r="K15" s="78"/>
      <c r="L15" s="78"/>
      <c r="M15" s="78"/>
      <c r="N15" s="80"/>
      <c r="O15" s="78"/>
      <c r="P15" s="78"/>
      <c r="Q15" s="90" t="s">
        <v>73</v>
      </c>
    </row>
    <row r="16" spans="1:17" ht="172.5" customHeight="1" x14ac:dyDescent="0.25"/>
    <row r="17" spans="1:17" ht="6" customHeight="1" x14ac:dyDescent="0.25"/>
    <row r="18" spans="1:17" ht="30" customHeight="1" x14ac:dyDescent="0.25"/>
    <row r="19" spans="1:17" ht="230.25" customHeight="1" x14ac:dyDescent="0.25"/>
    <row r="20" spans="1:17" ht="47.25" customHeight="1" x14ac:dyDescent="0.25">
      <c r="A20" s="78"/>
      <c r="B20" s="84" t="s">
        <v>188</v>
      </c>
      <c r="C20" s="84"/>
      <c r="D20" s="84"/>
      <c r="E20" s="84"/>
      <c r="F20" s="78"/>
      <c r="G20" s="78"/>
      <c r="H20" s="78"/>
      <c r="I20" s="78"/>
      <c r="J20" s="90" t="s">
        <v>200</v>
      </c>
      <c r="K20" s="78"/>
      <c r="L20" s="78"/>
      <c r="M20" s="78"/>
      <c r="N20" s="80"/>
      <c r="O20" s="78"/>
      <c r="P20" s="78"/>
      <c r="Q20" s="90" t="s">
        <v>73</v>
      </c>
    </row>
    <row r="21" spans="1:17" ht="88.5" customHeight="1" x14ac:dyDescent="0.25"/>
    <row r="51" spans="1:17" ht="18.95" customHeight="1" x14ac:dyDescent="0.25"/>
    <row r="52" spans="1:17" ht="42" customHeight="1" x14ac:dyDescent="0.25">
      <c r="A52" s="78"/>
      <c r="B52" s="84" t="s">
        <v>183</v>
      </c>
      <c r="C52" s="84"/>
      <c r="D52" s="84"/>
      <c r="E52" s="84"/>
      <c r="F52" s="78"/>
      <c r="G52" s="78"/>
      <c r="H52" s="78"/>
      <c r="I52" s="90" t="s">
        <v>200</v>
      </c>
      <c r="J52" s="78"/>
      <c r="K52" s="78"/>
      <c r="L52" s="78"/>
      <c r="M52" s="78"/>
      <c r="N52" s="78"/>
      <c r="O52" s="78"/>
      <c r="P52" s="78"/>
      <c r="Q52" s="90" t="s">
        <v>73</v>
      </c>
    </row>
  </sheetData>
  <hyperlinks>
    <hyperlink ref="E6" r:id="rId1"/>
    <hyperlink ref="E1" r:id="rId2"/>
    <hyperlink ref="E15" r:id="rId3"/>
    <hyperlink ref="E12" r:id="rId4"/>
    <hyperlink ref="J20" r:id="rId5"/>
    <hyperlink ref="I52" r:id="rId6"/>
    <hyperlink ref="E9" r:id="rId7"/>
  </hyperlinks>
  <pageMargins left="0.70866141732283472" right="0.70866141732283472" top="0.74803149606299213" bottom="0.74803149606299213" header="0.31496062992125984" footer="0.31496062992125984"/>
  <pageSetup paperSize="9" scale="55" fitToHeight="4" orientation="portrait" r:id="rId8"/>
  <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Q31"/>
  <sheetViews>
    <sheetView showGridLines="0" zoomScaleNormal="100" workbookViewId="0">
      <selection activeCell="N3" sqref="N3"/>
    </sheetView>
  </sheetViews>
  <sheetFormatPr defaultColWidth="9.140625" defaultRowHeight="15" x14ac:dyDescent="0.25"/>
  <cols>
    <col min="1" max="1" width="1.28515625" customWidth="1"/>
    <col min="2" max="2" width="25.85546875" customWidth="1"/>
    <col min="3" max="3" width="59.42578125" customWidth="1"/>
    <col min="4" max="11" width="10.5703125" customWidth="1"/>
    <col min="12" max="12" width="10.42578125" customWidth="1"/>
    <col min="13" max="13" width="1.28515625" customWidth="1"/>
    <col min="15" max="15" width="11.28515625" hidden="1" customWidth="1"/>
    <col min="16" max="16" width="11.42578125" hidden="1" customWidth="1"/>
    <col min="17" max="17" width="20" hidden="1" customWidth="1"/>
    <col min="18" max="18" width="0" hidden="1" customWidth="1"/>
  </cols>
  <sheetData>
    <row r="2" spans="1:17" ht="85.5" customHeight="1" x14ac:dyDescent="0.25"/>
    <row r="3" spans="1:17" ht="29.25" thickBot="1" x14ac:dyDescent="0.5">
      <c r="B3" s="35" t="s">
        <v>52</v>
      </c>
      <c r="C3" s="35"/>
      <c r="D3" s="35"/>
      <c r="E3" s="36" t="s">
        <v>72</v>
      </c>
      <c r="F3" s="35"/>
      <c r="G3" s="35"/>
      <c r="H3" s="35"/>
      <c r="I3" s="35"/>
      <c r="J3" s="35"/>
      <c r="K3" s="35"/>
      <c r="L3" s="35"/>
    </row>
    <row r="4" spans="1:17" ht="26.25" customHeight="1" thickTop="1" thickBot="1" x14ac:dyDescent="0.3">
      <c r="B4" s="106" t="s">
        <v>3</v>
      </c>
      <c r="C4" s="108" t="s">
        <v>0</v>
      </c>
      <c r="D4" s="110"/>
      <c r="E4" s="110"/>
      <c r="F4" s="110"/>
      <c r="G4" s="110"/>
      <c r="H4" s="110"/>
      <c r="I4" s="110"/>
      <c r="J4" s="110"/>
      <c r="K4" s="110"/>
      <c r="L4" s="111"/>
    </row>
    <row r="5" spans="1:17" ht="21.75" customHeight="1" thickTop="1" thickBot="1" x14ac:dyDescent="0.3">
      <c r="B5" s="107"/>
      <c r="C5" s="109"/>
      <c r="D5" s="1" t="s">
        <v>1</v>
      </c>
      <c r="E5" s="1" t="s">
        <v>36</v>
      </c>
      <c r="F5" s="2" t="s">
        <v>37</v>
      </c>
      <c r="G5" s="1" t="s">
        <v>38</v>
      </c>
      <c r="H5" s="2" t="s">
        <v>39</v>
      </c>
      <c r="I5" s="1" t="s">
        <v>40</v>
      </c>
      <c r="J5" s="1" t="s">
        <v>41</v>
      </c>
      <c r="K5" s="1" t="s">
        <v>35</v>
      </c>
      <c r="L5" s="3" t="s">
        <v>34</v>
      </c>
    </row>
    <row r="6" spans="1:17" ht="16.5" thickTop="1" thickBot="1" x14ac:dyDescent="0.3">
      <c r="A6" s="19"/>
      <c r="B6" s="20" t="s">
        <v>132</v>
      </c>
      <c r="C6" s="19"/>
      <c r="D6" s="30" t="s">
        <v>43</v>
      </c>
      <c r="E6" s="30"/>
      <c r="F6" s="19"/>
      <c r="G6" s="19"/>
      <c r="H6" s="19"/>
      <c r="I6" s="19"/>
      <c r="J6" s="19"/>
      <c r="K6" s="19"/>
      <c r="L6" s="30" t="s">
        <v>86</v>
      </c>
      <c r="M6" s="19"/>
      <c r="O6" s="37" t="b">
        <v>0</v>
      </c>
      <c r="P6" s="37">
        <f>IF(O6,IF(Q6,1.6,1.35),IF(Q6,1.1,1))</f>
        <v>1</v>
      </c>
      <c r="Q6" t="b">
        <v>0</v>
      </c>
    </row>
    <row r="7" spans="1:17" ht="16.5" customHeight="1" thickTop="1" thickBot="1" x14ac:dyDescent="0.3">
      <c r="A7" s="19"/>
      <c r="B7" s="115"/>
      <c r="C7" s="116"/>
      <c r="D7" s="117" t="s">
        <v>133</v>
      </c>
      <c r="E7" s="118"/>
      <c r="F7" s="118"/>
      <c r="G7" s="118"/>
      <c r="H7" s="118"/>
      <c r="I7" s="118"/>
      <c r="J7" s="118"/>
      <c r="K7" s="118"/>
      <c r="L7" s="119"/>
      <c r="M7" s="19"/>
    </row>
    <row r="8" spans="1:17" ht="41.25" customHeight="1" thickTop="1" thickBot="1" x14ac:dyDescent="0.3">
      <c r="A8" s="19"/>
      <c r="B8" s="14" t="str">
        <f>IF($Q$6,IF($O$6,"DLVI.S.ESXI-KVM-ENT.х.36M247","DLVI.S.ESXI-KVM-ENT.х.12M247"),IF($O$6,"DLVI.S.ESXI-KVM-ENT.х.36M","DLVI.S.ESXI-KVM-ENT.х.z"))</f>
        <v>DLVI.S.ESXI-KVM-ENT.х.z</v>
      </c>
      <c r="C8" s="7" t="s">
        <v>194</v>
      </c>
      <c r="D8" s="5">
        <f>$P$6*90000</f>
        <v>90000</v>
      </c>
      <c r="E8" s="5">
        <f>$P$6*89000</f>
        <v>89000</v>
      </c>
      <c r="F8" s="5">
        <f>$P$6*88000</f>
        <v>88000</v>
      </c>
      <c r="G8" s="5">
        <f>$P$6*87000</f>
        <v>87000</v>
      </c>
      <c r="H8" s="5">
        <f>$P$6*86000</f>
        <v>86000</v>
      </c>
      <c r="I8" s="5">
        <f>$P$6*85000</f>
        <v>85000</v>
      </c>
      <c r="J8" s="5">
        <f>$P$6*84000</f>
        <v>84000</v>
      </c>
      <c r="K8" s="5" t="s">
        <v>2</v>
      </c>
      <c r="L8" s="5" t="s">
        <v>2</v>
      </c>
      <c r="M8" s="19"/>
    </row>
    <row r="9" spans="1:17" ht="42" customHeight="1" thickTop="1" thickBot="1" x14ac:dyDescent="0.3">
      <c r="A9" s="19"/>
      <c r="B9" s="14" t="str">
        <f>IF($Q$6,IF($O$6,"DLVI.S.ESXI-KVM-HV-ENT.х.36M247","DLVI.S.ESXI-KVM-HV-ENT.х.12M247"),IF($O$6,"DLVI.S.ESXI-KVM-HV-ENT.х.36M","DLVI.S.ESXI-KVM-HV-ENT.х.z"))</f>
        <v>DLVI.S.ESXI-KVM-HV-ENT.х.z</v>
      </c>
      <c r="C9" s="7" t="s">
        <v>196</v>
      </c>
      <c r="D9" s="5">
        <f>$P$6*115000</f>
        <v>115000</v>
      </c>
      <c r="E9" s="5">
        <f>$P$6*114000</f>
        <v>114000</v>
      </c>
      <c r="F9" s="5">
        <f>$P$6*113000</f>
        <v>113000</v>
      </c>
      <c r="G9" s="5">
        <f>$P$6*111000</f>
        <v>111000</v>
      </c>
      <c r="H9" s="5">
        <f>$P$6*110000</f>
        <v>110000</v>
      </c>
      <c r="I9" s="5">
        <f>$P$6*109000</f>
        <v>109000</v>
      </c>
      <c r="J9" s="5">
        <f>$P$6*106000</f>
        <v>106000</v>
      </c>
      <c r="K9" s="5" t="s">
        <v>2</v>
      </c>
      <c r="L9" s="5" t="s">
        <v>2</v>
      </c>
      <c r="M9" s="19"/>
    </row>
    <row r="10" spans="1:17" ht="9.75" customHeight="1" thickTop="1" x14ac:dyDescent="0.25">
      <c r="B10" s="13"/>
    </row>
    <row r="11" spans="1:17" ht="15.75" thickBot="1" x14ac:dyDescent="0.3">
      <c r="A11" s="19"/>
      <c r="B11" s="20" t="s">
        <v>33</v>
      </c>
      <c r="C11" s="19"/>
      <c r="D11" s="19"/>
      <c r="E11" s="19"/>
      <c r="F11" s="19"/>
      <c r="G11" s="19"/>
      <c r="H11" s="19"/>
      <c r="I11" s="19"/>
      <c r="J11" s="19"/>
      <c r="K11" s="19"/>
      <c r="L11" s="19"/>
      <c r="M11" s="19"/>
    </row>
    <row r="12" spans="1:17" ht="41.25" customHeight="1" thickTop="1" thickBot="1" x14ac:dyDescent="0.3">
      <c r="A12" s="19"/>
      <c r="B12" s="33" t="s">
        <v>4</v>
      </c>
      <c r="C12" s="51" t="s">
        <v>195</v>
      </c>
      <c r="D12" s="112">
        <v>500</v>
      </c>
      <c r="E12" s="113"/>
      <c r="F12" s="113"/>
      <c r="G12" s="113"/>
      <c r="H12" s="113"/>
      <c r="I12" s="113"/>
      <c r="J12" s="113"/>
      <c r="K12" s="113"/>
      <c r="L12" s="114"/>
      <c r="M12" s="19"/>
    </row>
    <row r="13" spans="1:17" ht="6.75" customHeight="1" thickTop="1" x14ac:dyDescent="0.25">
      <c r="A13" s="19"/>
      <c r="B13" s="21"/>
      <c r="C13" s="19"/>
      <c r="D13" s="19"/>
      <c r="E13" s="19"/>
      <c r="F13" s="19"/>
      <c r="G13" s="19"/>
      <c r="H13" s="19"/>
      <c r="I13" s="19"/>
      <c r="J13" s="19"/>
      <c r="K13" s="19"/>
      <c r="L13" s="19"/>
      <c r="M13" s="19"/>
    </row>
    <row r="14" spans="1:17" ht="46.5" customHeight="1" x14ac:dyDescent="0.25">
      <c r="B14" s="13"/>
    </row>
    <row r="15" spans="1:17" x14ac:dyDescent="0.25">
      <c r="A15" s="17"/>
      <c r="B15" s="18" t="s">
        <v>42</v>
      </c>
      <c r="C15" s="17"/>
      <c r="D15" s="17"/>
      <c r="E15" s="17"/>
      <c r="F15" s="17"/>
      <c r="G15" s="17"/>
      <c r="H15" s="17"/>
      <c r="I15" s="17"/>
      <c r="J15" s="17"/>
      <c r="K15" s="17"/>
      <c r="L15" s="17"/>
      <c r="M15" s="17"/>
    </row>
    <row r="16" spans="1:17" ht="41.25" customHeight="1" x14ac:dyDescent="0.25">
      <c r="M16" s="4"/>
    </row>
    <row r="17" spans="13:13" ht="41.25" customHeight="1" x14ac:dyDescent="0.25">
      <c r="M17" s="4"/>
    </row>
    <row r="18" spans="13:13" ht="41.25" customHeight="1" x14ac:dyDescent="0.25">
      <c r="M18" s="4"/>
    </row>
    <row r="19" spans="13:13" ht="41.25" customHeight="1" x14ac:dyDescent="0.25">
      <c r="M19" s="4"/>
    </row>
    <row r="20" spans="13:13" ht="41.25" customHeight="1" x14ac:dyDescent="0.25">
      <c r="M20" s="4"/>
    </row>
    <row r="21" spans="13:13" ht="41.25" customHeight="1" x14ac:dyDescent="0.25">
      <c r="M21" s="4"/>
    </row>
    <row r="22" spans="13:13" ht="41.25" customHeight="1" x14ac:dyDescent="0.25">
      <c r="M22" s="4"/>
    </row>
    <row r="23" spans="13:13" ht="41.25" customHeight="1" x14ac:dyDescent="0.25">
      <c r="M23" s="4"/>
    </row>
    <row r="24" spans="13:13" ht="41.25" customHeight="1" x14ac:dyDescent="0.25">
      <c r="M24" s="4"/>
    </row>
    <row r="25" spans="13:13" ht="41.25" customHeight="1" x14ac:dyDescent="0.25">
      <c r="M25" s="4"/>
    </row>
    <row r="26" spans="13:13" ht="41.25" customHeight="1" x14ac:dyDescent="0.25">
      <c r="M26" s="4"/>
    </row>
    <row r="27" spans="13:13" ht="41.25" customHeight="1" x14ac:dyDescent="0.25">
      <c r="M27" s="4"/>
    </row>
    <row r="28" spans="13:13" x14ac:dyDescent="0.25">
      <c r="M28" s="4"/>
    </row>
    <row r="29" spans="13:13" x14ac:dyDescent="0.25">
      <c r="M29" s="4"/>
    </row>
    <row r="30" spans="13:13" x14ac:dyDescent="0.25">
      <c r="M30" s="4"/>
    </row>
    <row r="31" spans="13:13" x14ac:dyDescent="0.25">
      <c r="M31" s="4"/>
    </row>
  </sheetData>
  <mergeCells count="6">
    <mergeCell ref="B4:B5"/>
    <mergeCell ref="C4:C5"/>
    <mergeCell ref="D4:L4"/>
    <mergeCell ref="D12:L12"/>
    <mergeCell ref="B7:C7"/>
    <mergeCell ref="D7:L7"/>
  </mergeCells>
  <conditionalFormatting sqref="A6:M6 A7:A9">
    <cfRule type="expression" dxfId="33" priority="13">
      <formula>$P$6&gt;1</formula>
    </cfRule>
  </conditionalFormatting>
  <conditionalFormatting sqref="M7:M9">
    <cfRule type="expression" dxfId="32" priority="1">
      <formula>$P$6&gt;1</formula>
    </cfRule>
  </conditionalFormatting>
  <pageMargins left="0.62992125984251968" right="0.23622047244094491" top="0.74803149606299213" bottom="0.74803149606299213" header="0.31496062992125984" footer="0.31496062992125984"/>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10</xdr:col>
                    <xdr:colOff>533400</xdr:colOff>
                    <xdr:row>5</xdr:row>
                    <xdr:rowOff>0</xdr:rowOff>
                  </from>
                  <to>
                    <xdr:col>11</xdr:col>
                    <xdr:colOff>76200</xdr:colOff>
                    <xdr:row>6</xdr:row>
                    <xdr:rowOff>28575</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2</xdr:col>
                    <xdr:colOff>3762375</xdr:colOff>
                    <xdr:row>5</xdr:row>
                    <xdr:rowOff>0</xdr:rowOff>
                  </from>
                  <to>
                    <xdr:col>3</xdr:col>
                    <xdr:colOff>57150</xdr:colOff>
                    <xdr:row>6</xdr:row>
                    <xdr:rowOff>28575</xdr:rowOff>
                  </to>
                </anchor>
              </controlPr>
            </control>
          </mc:Choice>
        </mc:AlternateContent>
        <mc:AlternateContent xmlns:mc="http://schemas.openxmlformats.org/markup-compatibility/2006">
          <mc:Choice Requires="x14">
            <control shapeId="17416" r:id="rId6" name="Check Box 8">
              <controlPr defaultSize="0" autoFill="0" autoLine="0" autoPict="0">
                <anchor moveWithCells="1">
                  <from>
                    <xdr:col>10</xdr:col>
                    <xdr:colOff>533400</xdr:colOff>
                    <xdr:row>5</xdr:row>
                    <xdr:rowOff>0</xdr:rowOff>
                  </from>
                  <to>
                    <xdr:col>11</xdr:col>
                    <xdr:colOff>76200</xdr:colOff>
                    <xdr:row>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T47"/>
  <sheetViews>
    <sheetView showGridLines="0" showRowColHeaders="0" topLeftCell="A20" zoomScaleNormal="100" workbookViewId="0">
      <selection activeCell="U35" sqref="U35"/>
    </sheetView>
  </sheetViews>
  <sheetFormatPr defaultColWidth="9.140625" defaultRowHeight="15" x14ac:dyDescent="0.25"/>
  <cols>
    <col min="1" max="1" width="1.28515625" customWidth="1"/>
    <col min="2" max="2" width="26.85546875" customWidth="1"/>
    <col min="3" max="3" width="59.42578125" customWidth="1"/>
    <col min="4" max="12" width="10.5703125" customWidth="1"/>
    <col min="13" max="13" width="1.28515625" customWidth="1"/>
    <col min="14" max="14" width="7" hidden="1" customWidth="1"/>
    <col min="15" max="15" width="10" hidden="1" customWidth="1"/>
    <col min="16" max="16" width="9.28515625" hidden="1" customWidth="1"/>
    <col min="17" max="17" width="12.140625" hidden="1" customWidth="1"/>
    <col min="18" max="18" width="3.5703125" customWidth="1"/>
  </cols>
  <sheetData>
    <row r="2" spans="1:17" ht="85.5" customHeight="1" x14ac:dyDescent="0.25"/>
    <row r="3" spans="1:17" ht="29.25" thickBot="1" x14ac:dyDescent="0.5">
      <c r="B3" s="35" t="s">
        <v>45</v>
      </c>
      <c r="C3" s="35"/>
      <c r="D3" s="35"/>
      <c r="F3" s="35"/>
      <c r="G3" s="81" t="s">
        <v>72</v>
      </c>
      <c r="H3" s="35"/>
      <c r="I3" s="35"/>
      <c r="J3" s="35"/>
      <c r="K3" s="35"/>
      <c r="L3" s="35"/>
    </row>
    <row r="4" spans="1:17" ht="26.25" customHeight="1" thickTop="1" thickBot="1" x14ac:dyDescent="0.3">
      <c r="B4" s="106" t="s">
        <v>3</v>
      </c>
      <c r="C4" s="108" t="s">
        <v>0</v>
      </c>
      <c r="D4" s="110" t="s">
        <v>46</v>
      </c>
      <c r="E4" s="110"/>
      <c r="F4" s="110"/>
      <c r="G4" s="110"/>
      <c r="H4" s="110"/>
      <c r="I4" s="110"/>
      <c r="J4" s="110"/>
      <c r="K4" s="110"/>
      <c r="L4" s="111"/>
    </row>
    <row r="5" spans="1:17" ht="21.75" customHeight="1" thickTop="1" thickBot="1" x14ac:dyDescent="0.3">
      <c r="B5" s="107"/>
      <c r="C5" s="109"/>
      <c r="D5" s="1" t="s">
        <v>1</v>
      </c>
      <c r="E5" s="1" t="s">
        <v>36</v>
      </c>
      <c r="F5" s="2" t="s">
        <v>37</v>
      </c>
      <c r="G5" s="1" t="s">
        <v>38</v>
      </c>
      <c r="H5" s="2" t="s">
        <v>39</v>
      </c>
      <c r="I5" s="1" t="s">
        <v>40</v>
      </c>
      <c r="J5" s="1" t="s">
        <v>41</v>
      </c>
      <c r="K5" s="1" t="s">
        <v>35</v>
      </c>
      <c r="L5" s="3" t="s">
        <v>34</v>
      </c>
    </row>
    <row r="6" spans="1:17" ht="9.75" customHeight="1" thickTop="1" x14ac:dyDescent="0.25">
      <c r="B6" s="13"/>
    </row>
    <row r="7" spans="1:17" x14ac:dyDescent="0.25">
      <c r="A7" s="19"/>
      <c r="B7" s="20" t="s">
        <v>128</v>
      </c>
      <c r="C7" s="19"/>
      <c r="D7" s="30" t="s">
        <v>190</v>
      </c>
      <c r="E7" s="30"/>
      <c r="F7" s="19"/>
      <c r="G7" s="19"/>
      <c r="H7" s="19"/>
      <c r="I7" s="19"/>
      <c r="J7" s="19"/>
      <c r="K7" s="19"/>
      <c r="L7" s="30" t="s">
        <v>86</v>
      </c>
      <c r="M7" s="19"/>
      <c r="O7" t="b">
        <v>0</v>
      </c>
      <c r="P7" s="37">
        <f>IF(O7,IF(Q7,1.6,1.35),IF(Q7,1.1,1))</f>
        <v>1</v>
      </c>
      <c r="Q7" t="b">
        <v>0</v>
      </c>
    </row>
    <row r="8" spans="1:17" ht="15.75" thickBot="1" x14ac:dyDescent="0.3">
      <c r="A8" s="19"/>
      <c r="B8" s="55" t="s">
        <v>140</v>
      </c>
      <c r="C8" s="56"/>
      <c r="D8" s="56"/>
      <c r="E8" s="56"/>
      <c r="F8" s="56"/>
      <c r="G8" s="56"/>
      <c r="H8" s="56"/>
      <c r="I8" s="56"/>
      <c r="J8" s="56"/>
      <c r="K8" s="56"/>
      <c r="L8" s="56"/>
      <c r="M8" s="19"/>
      <c r="P8" s="37"/>
    </row>
    <row r="9" spans="1:17" ht="41.25" customHeight="1" thickTop="1" thickBot="1" x14ac:dyDescent="0.3">
      <c r="A9" s="19"/>
      <c r="B9" s="33" t="str">
        <f>IF($Q$7,IF($O$7,"DLTBC.C.PCIE.y.36M247","DLTBC.C.PCIE.y.12M247"),IF($O$7,"DLTBC.C.PCIE.y.36M","DLTBC.C.PCIE.y.z"))</f>
        <v>DLTBC.C.PCIE.y.z</v>
      </c>
      <c r="C9" s="51" t="s">
        <v>137</v>
      </c>
      <c r="D9" s="10">
        <f>$P$7*27600</f>
        <v>27600</v>
      </c>
      <c r="E9" s="10">
        <f>$P$7*27400</f>
        <v>27400</v>
      </c>
      <c r="F9" s="10">
        <f>$P$7*27200</f>
        <v>27200</v>
      </c>
      <c r="G9" s="10">
        <f>$P$7*27000</f>
        <v>27000</v>
      </c>
      <c r="H9" s="10">
        <f>$P$7*26900</f>
        <v>26900</v>
      </c>
      <c r="I9" s="10">
        <f>$P$7*26700</f>
        <v>26700</v>
      </c>
      <c r="J9" s="10">
        <f>$P$7*26500</f>
        <v>26500</v>
      </c>
      <c r="K9" s="10" t="s">
        <v>2</v>
      </c>
      <c r="L9" s="10" t="s">
        <v>2</v>
      </c>
      <c r="M9" s="19"/>
      <c r="O9" t="b">
        <v>1</v>
      </c>
      <c r="P9" s="37">
        <f>IF(O9,IF(Q7,1.6,1.35),IF(Q7,1.1,1))</f>
        <v>1.35</v>
      </c>
      <c r="Q9" t="b">
        <v>0</v>
      </c>
    </row>
    <row r="10" spans="1:17" ht="41.25" customHeight="1" thickTop="1" thickBot="1" x14ac:dyDescent="0.3">
      <c r="A10" s="19"/>
      <c r="B10" s="14" t="str">
        <f>IF($Q$7,IF($O$7,"DLTBC.C.M2.y.36M247","DLTBC.C.M2.y.12M247"),IF($O$7,"DLTBC.C.M2.y.36M","DLTBC.C.M2.y.z"))</f>
        <v>DLTBC.C.M2.y.z</v>
      </c>
      <c r="C10" s="7" t="s">
        <v>138</v>
      </c>
      <c r="D10" s="5">
        <f>$P$7*27600</f>
        <v>27600</v>
      </c>
      <c r="E10" s="5">
        <f>$P$7*27400</f>
        <v>27400</v>
      </c>
      <c r="F10" s="5">
        <f>$P$7*27200</f>
        <v>27200</v>
      </c>
      <c r="G10" s="5">
        <f>$P$7*27000</f>
        <v>27000</v>
      </c>
      <c r="H10" s="5">
        <f>$P$7*26900</f>
        <v>26900</v>
      </c>
      <c r="I10" s="5">
        <f>$P$7*26700</f>
        <v>26700</v>
      </c>
      <c r="J10" s="5">
        <f>$P$7*26500</f>
        <v>26500</v>
      </c>
      <c r="K10" s="5" t="s">
        <v>2</v>
      </c>
      <c r="L10" s="5" t="s">
        <v>2</v>
      </c>
      <c r="M10" s="19"/>
    </row>
    <row r="11" spans="1:17" ht="41.25" customHeight="1" thickTop="1" thickBot="1" x14ac:dyDescent="0.3">
      <c r="A11" s="19"/>
      <c r="B11" s="33" t="str">
        <f>IF($Q$7,IF($O$7,"DLTBC.C.MPCIE.y.36M247","DLTBC.C.MPCIE.y.12M247"),IF($O$7,"DLTBC.C.MPCIE.y.36M","DLTBC.C.MPCIE.y.z"))</f>
        <v>DLTBC.C.MPCIE.y.z</v>
      </c>
      <c r="C11" s="51" t="s">
        <v>139</v>
      </c>
      <c r="D11" s="10">
        <f>$P$7*57500</f>
        <v>57500</v>
      </c>
      <c r="E11" s="10">
        <f>$P$7*57000</f>
        <v>57000</v>
      </c>
      <c r="F11" s="10">
        <f>$P$7*56500</f>
        <v>56500</v>
      </c>
      <c r="G11" s="10">
        <f>$P$7*55500</f>
        <v>55500</v>
      </c>
      <c r="H11" s="10">
        <f>$P$7*55000</f>
        <v>55000</v>
      </c>
      <c r="I11" s="10">
        <f>$P$7*54500</f>
        <v>54500</v>
      </c>
      <c r="J11" s="10">
        <f>$P$7*54000</f>
        <v>54000</v>
      </c>
      <c r="K11" s="10" t="s">
        <v>2</v>
      </c>
      <c r="L11" s="10" t="s">
        <v>2</v>
      </c>
      <c r="M11" s="19"/>
    </row>
    <row r="12" spans="1:17" ht="41.25" customHeight="1" thickTop="1" thickBot="1" x14ac:dyDescent="0.3">
      <c r="A12" s="19"/>
      <c r="B12" s="55" t="s">
        <v>141</v>
      </c>
      <c r="C12" s="56"/>
      <c r="D12" s="56"/>
      <c r="E12" s="56"/>
      <c r="F12" s="56"/>
      <c r="G12" s="56"/>
      <c r="H12" s="56"/>
      <c r="I12" s="56"/>
      <c r="J12" s="56"/>
      <c r="K12" s="56"/>
      <c r="L12" s="56"/>
      <c r="M12" s="19"/>
    </row>
    <row r="13" spans="1:17" ht="41.25" customHeight="1" thickTop="1" thickBot="1" x14ac:dyDescent="0.3">
      <c r="A13" s="19"/>
      <c r="B13" s="14" t="str">
        <f>IF($Q$7,IF($O$7,"DLTBCMO.C.PCIE.y.36M247","DLTBCMO.C.PCIE.y.12M247"),IF($O$7,"DLTBCMO.C.PCIE.y.36M","DLTBCMO.C.PCIE.y.z"))</f>
        <v>DLTBCMO.C.PCIE.y.z</v>
      </c>
      <c r="C13" s="7" t="s">
        <v>142</v>
      </c>
      <c r="D13" s="5">
        <f>$P$7*27600</f>
        <v>27600</v>
      </c>
      <c r="E13" s="5">
        <f>$P$7*27400</f>
        <v>27400</v>
      </c>
      <c r="F13" s="5">
        <f>$P$7*27200</f>
        <v>27200</v>
      </c>
      <c r="G13" s="5">
        <f>$P$7*27000</f>
        <v>27000</v>
      </c>
      <c r="H13" s="5">
        <f>$P$7*26900</f>
        <v>26900</v>
      </c>
      <c r="I13" s="5">
        <f>$P$7*26700</f>
        <v>26700</v>
      </c>
      <c r="J13" s="5">
        <f>$P$7*26500</f>
        <v>26500</v>
      </c>
      <c r="K13" s="5" t="s">
        <v>2</v>
      </c>
      <c r="L13" s="5" t="s">
        <v>2</v>
      </c>
      <c r="M13" s="19"/>
    </row>
    <row r="14" spans="1:17" ht="41.25" customHeight="1" thickTop="1" thickBot="1" x14ac:dyDescent="0.3">
      <c r="A14" s="19"/>
      <c r="B14" s="33" t="str">
        <f>IF($Q$7,IF($O$7,"DLTBCMO.C.M2.y.36M247","DLTBCMO.C.M2.y.12M247"),IF($O$7,"DLTBCMO.C.M2.y.36M","DLTBCMO.C.M2.y.z"))</f>
        <v>DLTBCMO.C.M2.y.z</v>
      </c>
      <c r="C14" s="51" t="s">
        <v>143</v>
      </c>
      <c r="D14" s="10">
        <f>$P$7*27600</f>
        <v>27600</v>
      </c>
      <c r="E14" s="10">
        <f>$P$7*27400</f>
        <v>27400</v>
      </c>
      <c r="F14" s="10">
        <f>$P$7*27200</f>
        <v>27200</v>
      </c>
      <c r="G14" s="10">
        <f>$P$7*27000</f>
        <v>27000</v>
      </c>
      <c r="H14" s="10">
        <f>$P$7*26900</f>
        <v>26900</v>
      </c>
      <c r="I14" s="10">
        <f>$P$7*26700</f>
        <v>26700</v>
      </c>
      <c r="J14" s="10">
        <f>$P$7*26500</f>
        <v>26500</v>
      </c>
      <c r="K14" s="10" t="s">
        <v>2</v>
      </c>
      <c r="L14" s="10" t="s">
        <v>2</v>
      </c>
      <c r="M14" s="19"/>
    </row>
    <row r="15" spans="1:17" ht="41.25" customHeight="1" thickTop="1" thickBot="1" x14ac:dyDescent="0.3">
      <c r="A15" s="19"/>
      <c r="B15" s="14" t="str">
        <f>IF($Q$7,IF($O$7,"DLTBCMO.C.MPCIE.y.36M247","DLTBCMO.C.MPCIE.y.12M247"),IF($O$7,"DLTBCMO.C.MPCIE.y.36M","DLTBCMO.C.MPCIE.y.z"))</f>
        <v>DLTBCMO.C.MPCIE.y.z</v>
      </c>
      <c r="C15" s="7" t="s">
        <v>144</v>
      </c>
      <c r="D15" s="5">
        <f>$P$7*57500</f>
        <v>57500</v>
      </c>
      <c r="E15" s="5">
        <f>$P$7*57000</f>
        <v>57000</v>
      </c>
      <c r="F15" s="5">
        <f>$P$7*56500</f>
        <v>56500</v>
      </c>
      <c r="G15" s="5">
        <f>$P$7*55500</f>
        <v>55500</v>
      </c>
      <c r="H15" s="5">
        <f>$P$7*55000</f>
        <v>55000</v>
      </c>
      <c r="I15" s="5">
        <f>$P$7*54500</f>
        <v>54500</v>
      </c>
      <c r="J15" s="5">
        <f>$P$7*54000</f>
        <v>54000</v>
      </c>
      <c r="K15" s="5" t="s">
        <v>2</v>
      </c>
      <c r="L15" s="5" t="s">
        <v>2</v>
      </c>
      <c r="M15" s="19"/>
    </row>
    <row r="16" spans="1:17" ht="41.25" customHeight="1" thickTop="1" thickBot="1" x14ac:dyDescent="0.3">
      <c r="A16" s="19"/>
      <c r="B16" s="27" t="s">
        <v>110</v>
      </c>
      <c r="C16" s="8" t="s">
        <v>111</v>
      </c>
      <c r="D16" s="120" t="s">
        <v>2</v>
      </c>
      <c r="E16" s="121"/>
      <c r="F16" s="121"/>
      <c r="G16" s="121"/>
      <c r="H16" s="121"/>
      <c r="I16" s="121"/>
      <c r="J16" s="121"/>
      <c r="K16" s="121"/>
      <c r="L16" s="122"/>
      <c r="M16" s="19"/>
    </row>
    <row r="17" spans="1:20" ht="41.25" customHeight="1" thickTop="1" thickBot="1" x14ac:dyDescent="0.3">
      <c r="A17" s="19"/>
      <c r="B17" s="14" t="s">
        <v>112</v>
      </c>
      <c r="C17" s="7" t="s">
        <v>113</v>
      </c>
      <c r="D17" s="123" t="s">
        <v>2</v>
      </c>
      <c r="E17" s="124"/>
      <c r="F17" s="124"/>
      <c r="G17" s="124"/>
      <c r="H17" s="124"/>
      <c r="I17" s="124"/>
      <c r="J17" s="124"/>
      <c r="K17" s="124"/>
      <c r="L17" s="125"/>
      <c r="M17" s="19"/>
    </row>
    <row r="18" spans="1:20" ht="41.25" customHeight="1" thickTop="1" thickBot="1" x14ac:dyDescent="0.3">
      <c r="A18" s="19"/>
      <c r="B18" s="27" t="s">
        <v>9</v>
      </c>
      <c r="C18" s="8" t="s">
        <v>10</v>
      </c>
      <c r="D18" s="120" t="s">
        <v>2</v>
      </c>
      <c r="E18" s="121"/>
      <c r="F18" s="121"/>
      <c r="G18" s="121"/>
      <c r="H18" s="121"/>
      <c r="I18" s="121"/>
      <c r="J18" s="121"/>
      <c r="K18" s="121"/>
      <c r="L18" s="122"/>
      <c r="M18" s="19"/>
    </row>
    <row r="19" spans="1:20" ht="41.25" customHeight="1" thickTop="1" thickBot="1" x14ac:dyDescent="0.3">
      <c r="A19" s="19"/>
      <c r="B19" s="14" t="s">
        <v>11</v>
      </c>
      <c r="C19" s="7" t="s">
        <v>12</v>
      </c>
      <c r="D19" s="123" t="s">
        <v>2</v>
      </c>
      <c r="E19" s="124"/>
      <c r="F19" s="124"/>
      <c r="G19" s="124"/>
      <c r="H19" s="124"/>
      <c r="I19" s="124"/>
      <c r="J19" s="124"/>
      <c r="K19" s="124"/>
      <c r="L19" s="125"/>
      <c r="M19" s="19"/>
      <c r="O19" s="57"/>
      <c r="P19" s="57"/>
      <c r="Q19" s="57"/>
      <c r="R19" s="57"/>
      <c r="S19" s="57"/>
      <c r="T19" s="57"/>
    </row>
    <row r="20" spans="1:20" ht="6.75" customHeight="1" thickTop="1" x14ac:dyDescent="0.25">
      <c r="A20" s="19"/>
      <c r="B20" s="21"/>
      <c r="C20" s="19"/>
      <c r="D20" s="19"/>
      <c r="E20" s="19"/>
      <c r="F20" s="19"/>
      <c r="G20" s="19"/>
      <c r="H20" s="19"/>
      <c r="I20" s="19"/>
      <c r="J20" s="19"/>
      <c r="K20" s="19"/>
      <c r="L20" s="19"/>
      <c r="M20" s="19"/>
      <c r="O20" s="57"/>
      <c r="P20" s="57"/>
      <c r="Q20" s="57"/>
      <c r="R20" s="57"/>
      <c r="S20" s="57"/>
      <c r="T20" s="57"/>
    </row>
    <row r="21" spans="1:20" ht="9.75" customHeight="1" x14ac:dyDescent="0.25">
      <c r="B21" s="13"/>
      <c r="O21" s="57"/>
      <c r="P21" s="57"/>
      <c r="Q21" s="57"/>
      <c r="R21" s="57"/>
      <c r="S21" s="57"/>
      <c r="T21" s="57"/>
    </row>
    <row r="22" spans="1:20" ht="15.75" thickBot="1" x14ac:dyDescent="0.3">
      <c r="A22" s="19"/>
      <c r="B22" s="20" t="s">
        <v>145</v>
      </c>
      <c r="C22" s="19"/>
      <c r="D22" s="30" t="s">
        <v>43</v>
      </c>
      <c r="E22" s="30"/>
      <c r="F22" s="19"/>
      <c r="G22" s="19"/>
      <c r="H22" s="19"/>
      <c r="I22" s="19"/>
      <c r="J22" s="19"/>
      <c r="K22" s="19"/>
      <c r="L22" s="30" t="s">
        <v>86</v>
      </c>
      <c r="M22" s="19"/>
      <c r="O22" s="57" t="b">
        <v>0</v>
      </c>
      <c r="P22" s="58">
        <f>IF(O22,IF(Q22,1.6,1.35),IF(Q22,1.1,1))</f>
        <v>1</v>
      </c>
      <c r="Q22" s="57" t="b">
        <v>0</v>
      </c>
      <c r="R22" s="57"/>
      <c r="S22" s="57"/>
      <c r="T22" s="57"/>
    </row>
    <row r="23" spans="1:20" ht="41.25" customHeight="1" thickTop="1" thickBot="1" x14ac:dyDescent="0.3">
      <c r="A23" s="19"/>
      <c r="B23" s="14" t="str">
        <f>IF($Q$22,IF($O$22,"DLTBB.C.x.y.36M247","DLTBB.C.x.y.12M247"),IF($O$22,"DLTBB.C.x.y.36M","DLTBB.C.x.y.z"))</f>
        <v>DLTBB.C.x.y.z</v>
      </c>
      <c r="C23" s="7" t="s">
        <v>130</v>
      </c>
      <c r="D23" s="60">
        <f>$P$22*6700</f>
        <v>6700</v>
      </c>
      <c r="E23" s="60">
        <f>$P$22*6400</f>
        <v>6400</v>
      </c>
      <c r="F23" s="60">
        <f>$P$22*6000</f>
        <v>6000</v>
      </c>
      <c r="G23" s="60">
        <f>$P$22*5700</f>
        <v>5700</v>
      </c>
      <c r="H23" s="60">
        <f>$P$22*5300</f>
        <v>5300</v>
      </c>
      <c r="I23" s="60">
        <f>$P$22*5100</f>
        <v>5100</v>
      </c>
      <c r="J23" s="60">
        <f>$P$22*4800</f>
        <v>4800</v>
      </c>
      <c r="K23" s="5" t="s">
        <v>2</v>
      </c>
      <c r="L23" s="5" t="s">
        <v>2</v>
      </c>
      <c r="M23" s="19"/>
      <c r="O23" s="57" t="b">
        <v>1</v>
      </c>
      <c r="P23" s="58">
        <f>IF(O23,IF(Q22,1.6,1.35),IF(Q22,1.1,1))</f>
        <v>1.35</v>
      </c>
      <c r="Q23" s="57" t="b">
        <v>0</v>
      </c>
      <c r="R23" s="57"/>
      <c r="S23" s="57"/>
      <c r="T23" s="57"/>
    </row>
    <row r="24" spans="1:20" ht="41.25" customHeight="1" thickTop="1" thickBot="1" x14ac:dyDescent="0.3">
      <c r="A24" s="19"/>
      <c r="B24" s="27" t="s">
        <v>129</v>
      </c>
      <c r="C24" s="8" t="s">
        <v>131</v>
      </c>
      <c r="D24" s="120">
        <v>1000</v>
      </c>
      <c r="E24" s="121"/>
      <c r="F24" s="121"/>
      <c r="G24" s="121"/>
      <c r="H24" s="121"/>
      <c r="I24" s="121"/>
      <c r="J24" s="121"/>
      <c r="K24" s="121"/>
      <c r="L24" s="122"/>
      <c r="M24" s="19"/>
      <c r="O24" s="57"/>
      <c r="P24" s="57"/>
      <c r="Q24" s="57"/>
      <c r="R24" s="57"/>
      <c r="S24" s="57"/>
      <c r="T24" s="57"/>
    </row>
    <row r="25" spans="1:20" ht="6.75" customHeight="1" thickTop="1" x14ac:dyDescent="0.25">
      <c r="A25" s="19"/>
      <c r="B25" s="21"/>
      <c r="C25" s="19"/>
      <c r="D25" s="19"/>
      <c r="E25" s="19"/>
      <c r="F25" s="19"/>
      <c r="G25" s="19"/>
      <c r="H25" s="19"/>
      <c r="I25" s="19"/>
      <c r="J25" s="19"/>
      <c r="K25" s="19"/>
      <c r="L25" s="19"/>
      <c r="M25" s="19"/>
      <c r="O25" s="57"/>
      <c r="P25" s="57"/>
      <c r="Q25" s="57"/>
      <c r="R25" s="57"/>
      <c r="S25" s="57"/>
      <c r="T25" s="57"/>
    </row>
    <row r="26" spans="1:20" ht="9.75" customHeight="1" x14ac:dyDescent="0.25">
      <c r="B26" s="13"/>
      <c r="O26" s="57"/>
      <c r="P26" s="57"/>
      <c r="Q26" s="57"/>
      <c r="R26" s="57"/>
      <c r="S26" s="57"/>
      <c r="T26" s="57"/>
    </row>
    <row r="27" spans="1:20" ht="15.75" thickBot="1" x14ac:dyDescent="0.3">
      <c r="A27" s="19"/>
      <c r="B27" s="20" t="s">
        <v>136</v>
      </c>
      <c r="C27" s="19"/>
      <c r="D27" s="30" t="s">
        <v>43</v>
      </c>
      <c r="E27" s="30"/>
      <c r="F27" s="19"/>
      <c r="G27" s="19"/>
      <c r="H27" s="19"/>
      <c r="I27" s="19"/>
      <c r="J27" s="19"/>
      <c r="K27" s="19"/>
      <c r="L27" s="30" t="s">
        <v>86</v>
      </c>
      <c r="M27" s="19"/>
      <c r="O27" s="57" t="b">
        <v>0</v>
      </c>
      <c r="P27" s="58">
        <f>IF(O27,IF(Q27,1.6,1.35),IF(Q27,1.1,1))</f>
        <v>1</v>
      </c>
      <c r="Q27" s="57" t="b">
        <v>0</v>
      </c>
      <c r="R27" s="57"/>
      <c r="S27" s="57"/>
      <c r="T27" s="57"/>
    </row>
    <row r="28" spans="1:20" ht="41.25" customHeight="1" thickTop="1" thickBot="1" x14ac:dyDescent="0.3">
      <c r="A28" s="19"/>
      <c r="B28" s="14" t="str">
        <f>IF($Q$27,IF($O$27,"DLMC.S.N3.x.36M247","DLMC.S.N3.x.12M247"),IF($O$27,"DLMC.S.N3.x.36M","DLMC.S.N3.x.z"))</f>
        <v>DLMC.S.N3.x.z</v>
      </c>
      <c r="C28" s="7" t="s">
        <v>102</v>
      </c>
      <c r="D28" s="5">
        <f>$P$27*20000</f>
        <v>20000</v>
      </c>
      <c r="E28" s="5">
        <f>$P$27*30000</f>
        <v>30000</v>
      </c>
      <c r="F28" s="5">
        <f>$P$27*70000</f>
        <v>70000</v>
      </c>
      <c r="G28" s="5">
        <f>$P$27*120000</f>
        <v>120000</v>
      </c>
      <c r="H28" s="5">
        <f>$P$27*200000</f>
        <v>200000</v>
      </c>
      <c r="I28" s="5">
        <f>$P$27*290000</f>
        <v>290000</v>
      </c>
      <c r="J28" s="5">
        <f>$P$27*380000</f>
        <v>380000</v>
      </c>
      <c r="K28" s="5">
        <f>$P$27*450000</f>
        <v>450000</v>
      </c>
      <c r="L28" s="5">
        <f>$P$27*900000</f>
        <v>900000</v>
      </c>
      <c r="M28" s="19"/>
      <c r="O28" s="57"/>
      <c r="P28" s="57"/>
      <c r="Q28" s="57"/>
      <c r="R28" s="57"/>
      <c r="S28" s="57"/>
      <c r="T28" s="57"/>
    </row>
    <row r="29" spans="1:20" ht="17.25" customHeight="1" thickTop="1" x14ac:dyDescent="0.25">
      <c r="A29" s="19"/>
      <c r="B29" s="20"/>
      <c r="C29" s="19"/>
      <c r="D29" s="19"/>
      <c r="E29" s="19"/>
      <c r="F29" s="19"/>
      <c r="G29" s="19"/>
      <c r="H29" s="19"/>
      <c r="I29" s="19"/>
      <c r="J29" s="19"/>
      <c r="K29" s="19"/>
      <c r="L29" s="19"/>
      <c r="M29" s="19"/>
    </row>
    <row r="30" spans="1:20" ht="45.75" customHeight="1" x14ac:dyDescent="0.25">
      <c r="B30" s="13"/>
    </row>
    <row r="31" spans="1:20" x14ac:dyDescent="0.25">
      <c r="A31" s="17"/>
      <c r="B31" s="18" t="s">
        <v>42</v>
      </c>
      <c r="C31" s="17"/>
      <c r="D31" s="17"/>
      <c r="E31" s="17"/>
      <c r="F31" s="17"/>
      <c r="G31" s="17"/>
      <c r="H31" s="17"/>
      <c r="I31" s="17"/>
      <c r="J31" s="17"/>
      <c r="K31" s="17"/>
      <c r="L31" s="17"/>
      <c r="M31" s="17"/>
    </row>
    <row r="32" spans="1:20" ht="41.25" customHeight="1" x14ac:dyDescent="0.25">
      <c r="M32" s="4"/>
    </row>
    <row r="33" spans="13:13" ht="41.25" customHeight="1" x14ac:dyDescent="0.25">
      <c r="M33" s="4"/>
    </row>
    <row r="34" spans="13:13" ht="41.25" customHeight="1" x14ac:dyDescent="0.25">
      <c r="M34" s="4"/>
    </row>
    <row r="35" spans="13:13" ht="41.25" customHeight="1" x14ac:dyDescent="0.25">
      <c r="M35" s="4"/>
    </row>
    <row r="36" spans="13:13" ht="41.25" customHeight="1" x14ac:dyDescent="0.25">
      <c r="M36" s="4"/>
    </row>
    <row r="37" spans="13:13" ht="41.25" customHeight="1" x14ac:dyDescent="0.25">
      <c r="M37" s="4"/>
    </row>
    <row r="38" spans="13:13" ht="41.25" customHeight="1" x14ac:dyDescent="0.25">
      <c r="M38" s="4"/>
    </row>
    <row r="39" spans="13:13" ht="41.25" customHeight="1" x14ac:dyDescent="0.25">
      <c r="M39" s="4"/>
    </row>
    <row r="40" spans="13:13" ht="41.25" customHeight="1" x14ac:dyDescent="0.25">
      <c r="M40" s="4"/>
    </row>
    <row r="41" spans="13:13" ht="41.25" customHeight="1" x14ac:dyDescent="0.25">
      <c r="M41" s="4"/>
    </row>
    <row r="42" spans="13:13" ht="41.25" customHeight="1" x14ac:dyDescent="0.25">
      <c r="M42" s="4"/>
    </row>
    <row r="43" spans="13:13" ht="41.25" customHeight="1" x14ac:dyDescent="0.25">
      <c r="M43" s="4"/>
    </row>
    <row r="44" spans="13:13" x14ac:dyDescent="0.25">
      <c r="M44" s="4"/>
    </row>
    <row r="45" spans="13:13" x14ac:dyDescent="0.25">
      <c r="M45" s="4"/>
    </row>
    <row r="46" spans="13:13" x14ac:dyDescent="0.25">
      <c r="M46" s="4"/>
    </row>
    <row r="47" spans="13:13" x14ac:dyDescent="0.25">
      <c r="M47" s="4"/>
    </row>
  </sheetData>
  <mergeCells count="8">
    <mergeCell ref="D24:L24"/>
    <mergeCell ref="B4:B5"/>
    <mergeCell ref="C4:C5"/>
    <mergeCell ref="D4:L4"/>
    <mergeCell ref="D19:L19"/>
    <mergeCell ref="D16:L16"/>
    <mergeCell ref="D18:L18"/>
    <mergeCell ref="D17:L17"/>
  </mergeCells>
  <conditionalFormatting sqref="A9:A20 M9:M20">
    <cfRule type="expression" dxfId="31" priority="14" stopIfTrue="1">
      <formula>$P$7&lt;&gt;1</formula>
    </cfRule>
  </conditionalFormatting>
  <conditionalFormatting sqref="A22:A24 M23:M24 A25:M25">
    <cfRule type="expression" dxfId="30" priority="4">
      <formula>$P$22&gt;1</formula>
    </cfRule>
  </conditionalFormatting>
  <conditionalFormatting sqref="A7:C7 E7:M7 A8:M8 B12:L12 B20:L20">
    <cfRule type="expression" dxfId="29" priority="17">
      <formula>$P$7&lt;&gt;1</formula>
    </cfRule>
  </conditionalFormatting>
  <conditionalFormatting sqref="A27:M27 A28 M28 A29:M29">
    <cfRule type="expression" dxfId="28" priority="3">
      <formula>$P$27&gt;1</formula>
    </cfRule>
  </conditionalFormatting>
  <conditionalFormatting sqref="B22:M22">
    <cfRule type="expression" dxfId="27" priority="2">
      <formula>$P$22&gt;1</formula>
    </cfRule>
  </conditionalFormatting>
  <conditionalFormatting sqref="D7">
    <cfRule type="expression" dxfId="26" priority="1">
      <formula>$P$7&gt;1</formula>
    </cfRule>
  </conditionalFormatting>
  <pageMargins left="0.59055118110236227" right="0.39370078740157483" top="0.23622047244094491" bottom="0.23622047244094491" header="0.31496062992125984" footer="0.31496062992125984"/>
  <pageSetup paperSize="9" scale="47" orientation="portrait" r:id="rId1"/>
  <ignoredErrors>
    <ignoredError sqref="P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10</xdr:col>
                    <xdr:colOff>533400</xdr:colOff>
                    <xdr:row>5</xdr:row>
                    <xdr:rowOff>95250</xdr:rowOff>
                  </from>
                  <to>
                    <xdr:col>11</xdr:col>
                    <xdr:colOff>76200</xdr:colOff>
                    <xdr:row>7</xdr:row>
                    <xdr:rowOff>19050</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2</xdr:col>
                    <xdr:colOff>3752850</xdr:colOff>
                    <xdr:row>25</xdr:row>
                    <xdr:rowOff>85725</xdr:rowOff>
                  </from>
                  <to>
                    <xdr:col>3</xdr:col>
                    <xdr:colOff>0</xdr:colOff>
                    <xdr:row>27</xdr:row>
                    <xdr:rowOff>19050</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from>
                    <xdr:col>10</xdr:col>
                    <xdr:colOff>533400</xdr:colOff>
                    <xdr:row>25</xdr:row>
                    <xdr:rowOff>95250</xdr:rowOff>
                  </from>
                  <to>
                    <xdr:col>11</xdr:col>
                    <xdr:colOff>76200</xdr:colOff>
                    <xdr:row>27</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533400</xdr:colOff>
                    <xdr:row>20</xdr:row>
                    <xdr:rowOff>95250</xdr:rowOff>
                  </from>
                  <to>
                    <xdr:col>11</xdr:col>
                    <xdr:colOff>76200</xdr:colOff>
                    <xdr:row>22</xdr:row>
                    <xdr:rowOff>9525</xdr:rowOff>
                  </to>
                </anchor>
              </controlPr>
            </control>
          </mc:Choice>
        </mc:AlternateContent>
        <mc:AlternateContent xmlns:mc="http://schemas.openxmlformats.org/markup-compatibility/2006">
          <mc:Choice Requires="x14">
            <control shapeId="10249" r:id="rId8" name="Check Box 9">
              <controlPr defaultSize="0" autoFill="0" autoLine="0" autoPict="0">
                <anchor moveWithCells="1">
                  <from>
                    <xdr:col>2</xdr:col>
                    <xdr:colOff>3762375</xdr:colOff>
                    <xdr:row>20</xdr:row>
                    <xdr:rowOff>76200</xdr:rowOff>
                  </from>
                  <to>
                    <xdr:col>3</xdr:col>
                    <xdr:colOff>9525</xdr:colOff>
                    <xdr:row>22</xdr:row>
                    <xdr:rowOff>9525</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2</xdr:col>
                    <xdr:colOff>3752850</xdr:colOff>
                    <xdr:row>5</xdr:row>
                    <xdr:rowOff>95250</xdr:rowOff>
                  </from>
                  <to>
                    <xdr:col>3</xdr:col>
                    <xdr:colOff>0</xdr:colOff>
                    <xdr:row>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C38"/>
  <sheetViews>
    <sheetView showGridLines="0" topLeftCell="A12" zoomScaleNormal="100" workbookViewId="0">
      <selection activeCell="C23" sqref="C23"/>
    </sheetView>
  </sheetViews>
  <sheetFormatPr defaultColWidth="9.140625" defaultRowHeight="15" x14ac:dyDescent="0.25"/>
  <cols>
    <col min="1" max="1" width="1.28515625" customWidth="1"/>
    <col min="2" max="2" width="35.85546875" customWidth="1"/>
    <col min="3" max="3" width="61.140625" customWidth="1"/>
    <col min="4" max="12" width="12.7109375" customWidth="1"/>
    <col min="13" max="13" width="2.140625" customWidth="1"/>
    <col min="14" max="14" width="6.28515625" customWidth="1"/>
    <col min="15" max="15" width="8.5703125" hidden="1" customWidth="1"/>
    <col min="16" max="16" width="0.7109375" hidden="1" customWidth="1"/>
    <col min="17" max="18" width="0.140625" hidden="1" customWidth="1"/>
    <col min="19" max="19" width="6.85546875" hidden="1" customWidth="1"/>
    <col min="20" max="20" width="0.140625" hidden="1" customWidth="1"/>
    <col min="21" max="21" width="4.28515625" hidden="1" customWidth="1"/>
    <col min="22" max="22" width="0.28515625" hidden="1" customWidth="1"/>
    <col min="23" max="23" width="0.7109375" hidden="1" customWidth="1"/>
    <col min="24" max="24" width="0.140625" hidden="1" customWidth="1"/>
    <col min="25" max="28" width="9.140625" hidden="1" customWidth="1"/>
  </cols>
  <sheetData>
    <row r="2" spans="1:29" ht="102.75" customHeight="1" x14ac:dyDescent="0.25"/>
    <row r="3" spans="1:29" ht="29.25" thickBot="1" x14ac:dyDescent="0.5">
      <c r="B3" s="35" t="s">
        <v>44</v>
      </c>
      <c r="C3" s="35"/>
      <c r="D3" s="35"/>
      <c r="E3" s="82" t="s">
        <v>72</v>
      </c>
      <c r="F3" s="35"/>
      <c r="G3" s="35"/>
      <c r="H3" s="35"/>
      <c r="I3" s="35"/>
      <c r="J3" s="35"/>
      <c r="K3" s="35"/>
      <c r="L3" s="35"/>
    </row>
    <row r="4" spans="1:29" ht="26.25" customHeight="1" thickTop="1" thickBot="1" x14ac:dyDescent="0.3">
      <c r="B4" s="106" t="s">
        <v>3</v>
      </c>
      <c r="C4" s="108" t="s">
        <v>0</v>
      </c>
      <c r="D4" s="110" t="s">
        <v>7</v>
      </c>
      <c r="E4" s="110"/>
      <c r="F4" s="110"/>
      <c r="G4" s="110"/>
      <c r="H4" s="110"/>
      <c r="I4" s="110"/>
      <c r="J4" s="110"/>
      <c r="K4" s="110"/>
      <c r="L4" s="111"/>
    </row>
    <row r="5" spans="1:29" ht="21.75" customHeight="1" thickTop="1" thickBot="1" x14ac:dyDescent="0.3">
      <c r="B5" s="107"/>
      <c r="C5" s="109"/>
      <c r="D5" s="1" t="s">
        <v>1</v>
      </c>
      <c r="E5" s="1" t="s">
        <v>36</v>
      </c>
      <c r="F5" s="2" t="s">
        <v>37</v>
      </c>
      <c r="G5" s="1" t="s">
        <v>38</v>
      </c>
      <c r="H5" s="2" t="s">
        <v>39</v>
      </c>
      <c r="I5" s="1" t="s">
        <v>40</v>
      </c>
      <c r="J5" s="1" t="s">
        <v>41</v>
      </c>
      <c r="K5" s="1" t="s">
        <v>35</v>
      </c>
      <c r="L5" s="3" t="s">
        <v>34</v>
      </c>
    </row>
    <row r="6" spans="1:29" ht="9.75" customHeight="1" thickTop="1" x14ac:dyDescent="0.25">
      <c r="B6" s="13"/>
    </row>
    <row r="7" spans="1:29" ht="15.75" thickBot="1" x14ac:dyDescent="0.3">
      <c r="A7" s="19"/>
      <c r="B7" s="20" t="s">
        <v>32</v>
      </c>
      <c r="C7" s="19"/>
      <c r="D7" s="30" t="s">
        <v>168</v>
      </c>
      <c r="E7" s="30"/>
      <c r="F7" s="19"/>
      <c r="G7" s="19"/>
      <c r="H7" s="19"/>
      <c r="I7" s="19"/>
      <c r="J7" s="19"/>
      <c r="K7" s="30" t="s">
        <v>86</v>
      </c>
      <c r="L7" s="30"/>
      <c r="M7" s="19"/>
      <c r="O7" t="b">
        <v>0</v>
      </c>
      <c r="P7" s="37">
        <f>IF(O7,IF(Q7,1.6,1.35),IF(Q7,1.1,1))</f>
        <v>1</v>
      </c>
      <c r="Q7" t="b">
        <v>0</v>
      </c>
    </row>
    <row r="8" spans="1:29" ht="41.25" customHeight="1" thickTop="1" thickBot="1" x14ac:dyDescent="0.3">
      <c r="A8" s="19"/>
      <c r="B8" s="59" t="str">
        <f>IF($Q$7,IF($O$7,"DLLNX80K.C.UADS.x.36M247","DLLNX80K.C.UADS.x.12M247"),IF($O$7,"DLLNX80K.C.UADS.x.36M","DLLNX80K.C.UADS.x.z"))</f>
        <v>DLLNX80K.C.UADS.x.z</v>
      </c>
      <c r="C8" s="75" t="s">
        <v>179</v>
      </c>
      <c r="D8" s="5">
        <f>$P$7*11000</f>
        <v>11000</v>
      </c>
      <c r="E8" s="5">
        <f>$P$7*10500</f>
        <v>10500</v>
      </c>
      <c r="F8" s="60">
        <f>$P$7*10000</f>
        <v>10000</v>
      </c>
      <c r="G8" s="60">
        <f>$P$7*9500</f>
        <v>9500</v>
      </c>
      <c r="H8" s="60">
        <f>$P$7*9000</f>
        <v>9000</v>
      </c>
      <c r="I8" s="60">
        <f>$P$7*8300</f>
        <v>8300</v>
      </c>
      <c r="J8" s="60">
        <f>$P$7*6000</f>
        <v>6000</v>
      </c>
      <c r="K8" s="61" t="s">
        <v>2</v>
      </c>
      <c r="L8" s="61" t="s">
        <v>2</v>
      </c>
      <c r="M8" s="19"/>
      <c r="P8">
        <v>1</v>
      </c>
    </row>
    <row r="9" spans="1:29" ht="41.25" customHeight="1" thickTop="1" thickBot="1" x14ac:dyDescent="0.3">
      <c r="A9" s="19"/>
      <c r="B9" s="29" t="str">
        <f>IF($Q$7,IF($O$7,"DLLNX80K.C.FW.x.36M247","DLLNX80K.C.FW.x.12M247"),IF($O$7,"DLLNX80K.C.FW.x.36M","DLLNX80K.C.FW.x.z"))</f>
        <v>DLLNX80K.C.FW.x.z</v>
      </c>
      <c r="C9" s="75" t="s">
        <v>180</v>
      </c>
      <c r="D9" s="62">
        <f>$P$7*2100</f>
        <v>2100</v>
      </c>
      <c r="E9" s="62">
        <f>$P$7*1900</f>
        <v>1900</v>
      </c>
      <c r="F9" s="62">
        <f>$P$7*1800</f>
        <v>1800</v>
      </c>
      <c r="G9" s="62">
        <f>$P$7*1700</f>
        <v>1700</v>
      </c>
      <c r="H9" s="62">
        <f>$P$7*1600</f>
        <v>1600</v>
      </c>
      <c r="I9" s="62">
        <f>$P$7*1500</f>
        <v>1500</v>
      </c>
      <c r="J9" s="62">
        <f>$P$7*1200</f>
        <v>1200</v>
      </c>
      <c r="K9" s="62" t="s">
        <v>2</v>
      </c>
      <c r="L9" s="62" t="s">
        <v>2</v>
      </c>
      <c r="M9" s="19"/>
      <c r="O9" t="b">
        <v>0</v>
      </c>
      <c r="P9" s="72">
        <f>IF(O9,P7,0)</f>
        <v>0</v>
      </c>
      <c r="Q9" t="str">
        <f>IF(O9,"-FW","")</f>
        <v/>
      </c>
      <c r="R9" s="72" t="str">
        <f>IF(O9,", МЭ","")</f>
        <v/>
      </c>
      <c r="T9" s="72">
        <f>P9</f>
        <v>0</v>
      </c>
      <c r="AC9" s="77"/>
    </row>
    <row r="10" spans="1:29" ht="41.25" customHeight="1" thickTop="1" thickBot="1" x14ac:dyDescent="0.3">
      <c r="A10" s="19"/>
      <c r="B10" s="16" t="str">
        <f>IF($Q$7,IF($O$7,"DLLNX80K.C.IPS.x.36M247","DLLNX80K.C.IPS.x.12M247"),IF($O$7,"DLLNX80K.C.IPS.x.36M","DLLNX80K.C.IPS.x.z"))</f>
        <v>DLLNX80K.C.IPS.x.z</v>
      </c>
      <c r="C10" s="75" t="s">
        <v>181</v>
      </c>
      <c r="D10" s="5">
        <f>$P$7*5000</f>
        <v>5000</v>
      </c>
      <c r="E10" s="5">
        <f>$P$7*4750</f>
        <v>4750</v>
      </c>
      <c r="F10" s="60">
        <f>$P$7*4400</f>
        <v>4400</v>
      </c>
      <c r="G10" s="60">
        <f>$P$7*4100</f>
        <v>4100</v>
      </c>
      <c r="H10" s="60">
        <f>$P$7*4000</f>
        <v>4000</v>
      </c>
      <c r="I10" s="60">
        <f>$P$7*3500</f>
        <v>3500</v>
      </c>
      <c r="J10" s="60">
        <f>$P$7*3000</f>
        <v>3000</v>
      </c>
      <c r="K10" s="61" t="s">
        <v>2</v>
      </c>
      <c r="L10" s="61" t="s">
        <v>2</v>
      </c>
      <c r="M10" s="19"/>
      <c r="O10" s="72" t="b">
        <v>0</v>
      </c>
      <c r="P10" s="72">
        <f>IF(O10,P8,0)</f>
        <v>0</v>
      </c>
      <c r="Q10" s="72" t="str">
        <f>IF(O10,"-IPS","")</f>
        <v/>
      </c>
      <c r="R10" s="72" t="str">
        <f>IF(O10,IF(O9,", СОВ**",", СОВ***"),"")</f>
        <v/>
      </c>
      <c r="S10" s="76" t="s">
        <v>169</v>
      </c>
      <c r="T10" s="72">
        <f>P10</f>
        <v>0</v>
      </c>
    </row>
    <row r="11" spans="1:29" ht="42" customHeight="1" thickTop="1" thickBot="1" x14ac:dyDescent="0.3">
      <c r="A11" s="19"/>
      <c r="B11" s="41" t="str">
        <f>IF(O7,IF(Q7,Q11&amp;".x.36M247",Q11&amp;".x.36M"),(IF(Q7,Q11&amp;".12M247",Q11&amp;".x.y.")))</f>
        <v>DLLNX80K.C.UADS.x.y.</v>
      </c>
      <c r="C11" s="74" t="str">
        <f>IF(O7,IF(Q7,S11&amp;"",S11&amp;""),(IF(Q7,S11&amp;"",S11&amp;"")))</f>
        <v>Dallas Lock Linux/Dallas Lock 8.0-K. (СЗИ НСД, СКН).
Право на использование***. Универсальная бессрочная лицензия.</v>
      </c>
      <c r="D11" s="53">
        <f>IF($O$9,13000*$P$7,D8)+SUMPRODUCT(D$10,$T$10)</f>
        <v>11000</v>
      </c>
      <c r="E11" s="53">
        <f>IF($O$9,12000*$P$7,E8)+SUMPRODUCT(E$10,$T$10)</f>
        <v>10500</v>
      </c>
      <c r="F11" s="53">
        <f>IF($O$9,11500*$P$7,F8)+SUMPRODUCT(F$10,$T$10)</f>
        <v>10000</v>
      </c>
      <c r="G11" s="53">
        <f>IF($O$9,11000*$P$7,G8)+SUMPRODUCT(G$10,$T$10)</f>
        <v>9500</v>
      </c>
      <c r="H11" s="53">
        <f>IF($O$9,10000*$P$7,H8)+SUMPRODUCT(H$10,$T$10)</f>
        <v>9000</v>
      </c>
      <c r="I11" s="53">
        <f>IF($O$9,9500*$P$7,I8)+SUMPRODUCT(I$10,$T$10)</f>
        <v>8300</v>
      </c>
      <c r="J11" s="53">
        <f>IF($O$9,7200*$P$7,J8)+SUMPRODUCT(J$10,$T$10)</f>
        <v>6000</v>
      </c>
      <c r="K11" s="43" t="s">
        <v>2</v>
      </c>
      <c r="L11" s="43" t="s">
        <v>2</v>
      </c>
      <c r="M11" s="19"/>
      <c r="Q11" s="72" t="str">
        <f>"DLLNX80K.C.UADS"&amp;Q9&amp;Q10</f>
        <v>DLLNX80K.C.UADS</v>
      </c>
      <c r="R11" s="72" t="str">
        <f>"Dallas Lock Linux/Dallas Lock 8.0-K. (СЗИ НСД, СКН"&amp;R9&amp;R10&amp;")."</f>
        <v>Dallas Lock Linux/Dallas Lock 8.0-K. (СЗИ НСД, СКН).</v>
      </c>
      <c r="S11" s="76" t="str">
        <f>R11&amp;"
Право на использование***. Универсальная бессрочная лицензия."</f>
        <v>Dallas Lock Linux/Dallas Lock 8.0-K. (СЗИ НСД, СКН).
Право на использование***. Универсальная бессрочная лицензия.</v>
      </c>
    </row>
    <row r="12" spans="1:29" ht="41.25" customHeight="1" thickTop="1" thickBot="1" x14ac:dyDescent="0.3">
      <c r="A12" s="19"/>
      <c r="B12" s="14" t="str">
        <f>IF($Q$7,IF($O$7,"DLLNX.C.UADS.x.36M247","DLLNX.C.UADS.x.12M247"),IF($O$7,"DLLNX.C.UADS.x.36M","DLLNX.C.UADS.x.z"))</f>
        <v>DLLNX.C.UADS.x.z</v>
      </c>
      <c r="C12" s="7" t="s">
        <v>177</v>
      </c>
      <c r="D12" s="63">
        <f>$P$7*7400</f>
        <v>7400</v>
      </c>
      <c r="E12" s="63">
        <f>$P$7*7300</f>
        <v>7300</v>
      </c>
      <c r="F12" s="63">
        <f>$P$7*7100</f>
        <v>7100</v>
      </c>
      <c r="G12" s="63">
        <f>$P$7*6700</f>
        <v>6700</v>
      </c>
      <c r="H12" s="63">
        <f>$P$7*6500</f>
        <v>6500</v>
      </c>
      <c r="I12" s="63">
        <f>$P$7*5600</f>
        <v>5600</v>
      </c>
      <c r="J12" s="63">
        <f>$P$7*4350</f>
        <v>4350</v>
      </c>
      <c r="K12" s="64" t="s">
        <v>2</v>
      </c>
      <c r="L12" s="64" t="s">
        <v>2</v>
      </c>
      <c r="M12" s="19"/>
      <c r="P12">
        <v>1</v>
      </c>
      <c r="Q12" t="b">
        <v>0</v>
      </c>
    </row>
    <row r="13" spans="1:29" ht="41.25" customHeight="1" thickTop="1" thickBot="1" x14ac:dyDescent="0.3">
      <c r="A13" s="19"/>
      <c r="B13" s="29" t="str">
        <f>IF($Q$7,IF($O$7,"DLLNX.C.FW.x.36M247","DLLNX.C.FW.x.12M247"),IF($O$7,"DLLNX.C.FW.x.36M","DLLNX.C.FW.x.z"))</f>
        <v>DLLNX.C.FW.x.z</v>
      </c>
      <c r="C13" s="51" t="s">
        <v>176</v>
      </c>
      <c r="D13" s="62">
        <f>$P$7*1650</f>
        <v>1650</v>
      </c>
      <c r="E13" s="62">
        <f>$P$7*1600</f>
        <v>1600</v>
      </c>
      <c r="F13" s="62">
        <f>$P$7*1550</f>
        <v>1550</v>
      </c>
      <c r="G13" s="62">
        <f>$P$7*1450</f>
        <v>1450</v>
      </c>
      <c r="H13" s="62">
        <f>$P$7*1350</f>
        <v>1350</v>
      </c>
      <c r="I13" s="62">
        <f>$P$7*1200</f>
        <v>1200</v>
      </c>
      <c r="J13" s="62">
        <f>$P$7*900</f>
        <v>900</v>
      </c>
      <c r="K13" s="62" t="s">
        <v>2</v>
      </c>
      <c r="L13" s="62" t="s">
        <v>2</v>
      </c>
      <c r="M13" s="19"/>
      <c r="O13" s="72" t="b">
        <v>0</v>
      </c>
      <c r="P13" s="72">
        <f>IF(O13,P12,0)</f>
        <v>0</v>
      </c>
      <c r="Q13" s="72" t="str">
        <f>IF(O13,"-FW","")</f>
        <v/>
      </c>
      <c r="R13" s="72" t="str">
        <f>IF(O13,", МЭ","")</f>
        <v/>
      </c>
      <c r="S13" s="72">
        <f>IF(O14,P13,P13)</f>
        <v>0</v>
      </c>
    </row>
    <row r="14" spans="1:29" ht="41.25" customHeight="1" thickTop="1" thickBot="1" x14ac:dyDescent="0.3">
      <c r="A14" s="19"/>
      <c r="B14" s="16" t="str">
        <f>IF($Q$7,IF($O$7,"DLLNX.C.IPS.x.36M247","DLLNX.C.IPS.x.12M247"),IF($O$7,"DLLNX.C.IPS.x.36M","DLLNX.C.IPS.x.z"))</f>
        <v>DLLNX.C.IPS.x.z</v>
      </c>
      <c r="C14" s="7" t="s">
        <v>189</v>
      </c>
      <c r="D14" s="63">
        <f>$P$7*4600</f>
        <v>4600</v>
      </c>
      <c r="E14" s="63">
        <f>$P$7*4200</f>
        <v>4200</v>
      </c>
      <c r="F14" s="63">
        <f>$P$7*3900</f>
        <v>3900</v>
      </c>
      <c r="G14" s="63">
        <f>$P$7*3650</f>
        <v>3650</v>
      </c>
      <c r="H14" s="63">
        <f>$P$7*3400</f>
        <v>3400</v>
      </c>
      <c r="I14" s="63">
        <f>$P$7*3200</f>
        <v>3200</v>
      </c>
      <c r="J14" s="63">
        <f>$P$7*2600</f>
        <v>2600</v>
      </c>
      <c r="K14" s="64" t="s">
        <v>2</v>
      </c>
      <c r="L14" s="64" t="s">
        <v>2</v>
      </c>
      <c r="M14" s="19"/>
      <c r="O14" s="72" t="b">
        <v>0</v>
      </c>
      <c r="P14" s="72">
        <f>IF(O14,P12,0)</f>
        <v>0</v>
      </c>
      <c r="Q14" s="72" t="str">
        <f>IF(O14,IF(O13,"-IPS","-IPS"),"")</f>
        <v/>
      </c>
      <c r="R14" s="72" t="str">
        <f>IF(O14,IF(O13,", СОВ**",", СОВ**"),"")</f>
        <v/>
      </c>
      <c r="S14" s="72">
        <f>P14</f>
        <v>0</v>
      </c>
    </row>
    <row r="15" spans="1:29" ht="41.25" customHeight="1" thickTop="1" thickBot="1" x14ac:dyDescent="0.3">
      <c r="A15" s="19"/>
      <c r="B15" s="41" t="str">
        <f>IF(O7,IF(Q7,Q15&amp;".x.36M247",Q15&amp;".x.36M"),(IF(Q7,Q15&amp;".12M247",Q15&amp;".x.y.")))</f>
        <v>DLLNX.C.UADS.x.y.</v>
      </c>
      <c r="C15" s="42" t="str">
        <f>IF(O7,IF(Q7,S15&amp;"",S15&amp;""),(IF(Q7,S15&amp;"",S15&amp;"")))</f>
        <v>Dallas Lock Linux (СЗИ НСД, СКН).
Право на использование***. Бессрочная лицензия.</v>
      </c>
      <c r="D15" s="53">
        <f>IF($O$13,8600,D12)++SUMPRODUCT(D$14,$S$14)</f>
        <v>7400</v>
      </c>
      <c r="E15" s="53">
        <f>IF($O$13,8300,E12)++SUMPRODUCT(E$14,$S$14)</f>
        <v>7300</v>
      </c>
      <c r="F15" s="53">
        <f>IF($O$13,8100,F12)++SUMPRODUCT(F$14,$S$14)</f>
        <v>7100</v>
      </c>
      <c r="G15" s="53">
        <f>IF($O$13,7850,G12)++SUMPRODUCT(G$14,$S$14)</f>
        <v>6700</v>
      </c>
      <c r="H15" s="53">
        <f>IF($O$13,7400,H12)++SUMPRODUCT(H$14,$S$14)</f>
        <v>6500</v>
      </c>
      <c r="I15" s="53">
        <f>IF($O$13,6950,I12)++SUMPRODUCT(I$14,$S$14)</f>
        <v>5600</v>
      </c>
      <c r="J15" s="53">
        <f>IF($O$13,5380,J12)++SUMPRODUCT(J$14,$S$14)</f>
        <v>4350</v>
      </c>
      <c r="K15" s="43" t="s">
        <v>2</v>
      </c>
      <c r="L15" s="43" t="s">
        <v>2</v>
      </c>
      <c r="M15" s="19"/>
      <c r="Q15" s="72" t="str">
        <f>"DLLNX.C.UADS"&amp;Q13&amp;Q14</f>
        <v>DLLNX.C.UADS</v>
      </c>
      <c r="R15" s="72" t="str">
        <f>"Dallas Lock Linux (СЗИ НСД, СКН"&amp;R13&amp;R14&amp;")."</f>
        <v>Dallas Lock Linux (СЗИ НСД, СКН).</v>
      </c>
      <c r="S15" s="76" t="str">
        <f>R15&amp;"
Право на использование***. Бессрочная лицензия."</f>
        <v>Dallas Lock Linux (СЗИ НСД, СКН).
Право на использование***. Бессрочная лицензия.</v>
      </c>
    </row>
    <row r="16" spans="1:29" ht="6.75" customHeight="1" thickTop="1" x14ac:dyDescent="0.25">
      <c r="A16" s="19"/>
      <c r="B16" s="21"/>
      <c r="C16" s="19"/>
      <c r="D16" s="19"/>
      <c r="E16" s="19"/>
      <c r="F16" s="19"/>
      <c r="G16" s="19"/>
      <c r="H16" s="19"/>
      <c r="I16" s="19"/>
      <c r="J16" s="19"/>
      <c r="K16" s="19"/>
      <c r="L16" s="19"/>
      <c r="M16" s="19"/>
    </row>
    <row r="17" spans="1:17" ht="9.75" customHeight="1" x14ac:dyDescent="0.25">
      <c r="B17" s="13"/>
    </row>
    <row r="18" spans="1:17" ht="15.75" thickBot="1" x14ac:dyDescent="0.3">
      <c r="A18" s="19"/>
      <c r="B18" s="20" t="s">
        <v>33</v>
      </c>
      <c r="C18" s="19"/>
      <c r="D18" s="19"/>
      <c r="E18" s="19"/>
      <c r="F18" s="19"/>
      <c r="G18" s="19"/>
      <c r="H18" s="19"/>
      <c r="I18" s="19"/>
      <c r="J18" s="19"/>
      <c r="K18" s="19"/>
      <c r="L18" s="19"/>
      <c r="M18" s="19"/>
    </row>
    <row r="19" spans="1:17" ht="41.25" customHeight="1" thickTop="1" thickBot="1" x14ac:dyDescent="0.3">
      <c r="A19" s="19"/>
      <c r="B19" s="14" t="s">
        <v>8</v>
      </c>
      <c r="C19" s="7" t="s">
        <v>178</v>
      </c>
      <c r="D19" s="123">
        <v>500</v>
      </c>
      <c r="E19" s="124"/>
      <c r="F19" s="124"/>
      <c r="G19" s="124"/>
      <c r="H19" s="124"/>
      <c r="I19" s="124"/>
      <c r="J19" s="124"/>
      <c r="K19" s="124"/>
      <c r="L19" s="125"/>
      <c r="M19" s="19"/>
    </row>
    <row r="20" spans="1:17" ht="6.75" customHeight="1" thickTop="1" x14ac:dyDescent="0.25">
      <c r="A20" s="19"/>
      <c r="B20" s="21"/>
      <c r="C20" s="19"/>
      <c r="D20" s="19"/>
      <c r="E20" s="19"/>
      <c r="F20" s="19"/>
      <c r="G20" s="19"/>
      <c r="H20" s="19"/>
      <c r="I20" s="19"/>
      <c r="J20" s="19"/>
      <c r="K20" s="19"/>
      <c r="L20" s="19"/>
      <c r="M20" s="19"/>
    </row>
    <row r="21" spans="1:17" ht="9.75" customHeight="1" x14ac:dyDescent="0.25">
      <c r="B21" s="13"/>
    </row>
    <row r="22" spans="1:17" ht="15.75" thickBot="1" x14ac:dyDescent="0.3">
      <c r="A22" s="19"/>
      <c r="B22" s="20" t="s">
        <v>136</v>
      </c>
      <c r="C22" s="19"/>
      <c r="D22" s="30" t="s">
        <v>168</v>
      </c>
      <c r="E22" s="30"/>
      <c r="F22" s="19"/>
      <c r="G22" s="19"/>
      <c r="H22" s="19"/>
      <c r="I22" s="19"/>
      <c r="J22" s="19"/>
      <c r="K22" s="30" t="s">
        <v>86</v>
      </c>
      <c r="L22" s="30"/>
      <c r="M22" s="19"/>
      <c r="O22" s="72" t="b">
        <v>0</v>
      </c>
      <c r="P22" s="73">
        <f>IF(O22,IF(Q22,1.6,1.35),IF(Q22,1.1,1))</f>
        <v>1</v>
      </c>
      <c r="Q22" s="72" t="b">
        <v>0</v>
      </c>
    </row>
    <row r="23" spans="1:17" ht="41.25" customHeight="1" thickTop="1" thickBot="1" x14ac:dyDescent="0.3">
      <c r="A23" s="19"/>
      <c r="B23" s="33" t="str">
        <f>IF($Q$22,IF($O$22,"DLMC.S.N3.x.36M247","DLMC.S.N3.x.12M247"),IF($O$22,"DLMC.S.N3.x.36M","DLMC.S.N3.x.z"))</f>
        <v>DLMC.S.N3.x.z</v>
      </c>
      <c r="C23" s="51" t="s">
        <v>167</v>
      </c>
      <c r="D23" s="10">
        <f>$P$22*20000</f>
        <v>20000</v>
      </c>
      <c r="E23" s="10">
        <f>$P$22*30000</f>
        <v>30000</v>
      </c>
      <c r="F23" s="10">
        <f>$P$22*70000</f>
        <v>70000</v>
      </c>
      <c r="G23" s="10">
        <f>$P$22*120000</f>
        <v>120000</v>
      </c>
      <c r="H23" s="10">
        <f>$P$22*200000</f>
        <v>200000</v>
      </c>
      <c r="I23" s="10">
        <f>$P$22*290000</f>
        <v>290000</v>
      </c>
      <c r="J23" s="10">
        <f>$P$22*380000</f>
        <v>380000</v>
      </c>
      <c r="K23" s="10">
        <f>$P$22*450000</f>
        <v>450000</v>
      </c>
      <c r="L23" s="10">
        <f>$P$22*900000</f>
        <v>900000</v>
      </c>
      <c r="M23" s="19"/>
    </row>
    <row r="24" spans="1:17" ht="17.25" customHeight="1" thickTop="1" x14ac:dyDescent="0.25">
      <c r="A24" s="19"/>
      <c r="B24" s="20"/>
      <c r="C24" s="19"/>
      <c r="D24" s="19"/>
      <c r="E24" s="19"/>
      <c r="F24" s="19"/>
      <c r="G24" s="19"/>
      <c r="H24" s="19"/>
      <c r="I24" s="19"/>
      <c r="J24" s="19"/>
      <c r="K24" s="19"/>
      <c r="L24" s="19"/>
      <c r="M24" s="19"/>
    </row>
    <row r="25" spans="1:17" ht="57.75" customHeight="1" x14ac:dyDescent="0.25">
      <c r="B25" s="13"/>
    </row>
    <row r="26" spans="1:17" x14ac:dyDescent="0.25">
      <c r="A26" s="17"/>
      <c r="B26" s="18" t="s">
        <v>42</v>
      </c>
      <c r="C26" s="17"/>
      <c r="D26" s="17"/>
      <c r="E26" s="17"/>
      <c r="F26" s="17"/>
      <c r="G26" s="17"/>
      <c r="H26" s="17"/>
      <c r="I26" s="17"/>
      <c r="J26" s="17"/>
      <c r="K26" s="17"/>
      <c r="L26" s="17"/>
      <c r="M26" s="17"/>
    </row>
    <row r="27" spans="1:17" ht="41.25" customHeight="1" x14ac:dyDescent="0.25">
      <c r="M27" s="4"/>
    </row>
    <row r="28" spans="1:17" ht="41.25" customHeight="1" x14ac:dyDescent="0.25">
      <c r="M28" s="4"/>
    </row>
    <row r="29" spans="1:17" ht="41.25" customHeight="1" x14ac:dyDescent="0.25">
      <c r="M29" s="4"/>
    </row>
    <row r="30" spans="1:17" ht="41.25" customHeight="1" x14ac:dyDescent="0.25">
      <c r="M30" s="4"/>
    </row>
    <row r="31" spans="1:17" ht="41.25" customHeight="1" x14ac:dyDescent="0.25">
      <c r="M31" s="4"/>
    </row>
    <row r="32" spans="1:17" ht="41.25" customHeight="1" x14ac:dyDescent="0.25">
      <c r="M32" s="4"/>
    </row>
    <row r="33" spans="13:13" ht="41.25" customHeight="1" x14ac:dyDescent="0.25">
      <c r="M33" s="4"/>
    </row>
    <row r="34" spans="13:13" ht="41.25" customHeight="1" x14ac:dyDescent="0.25">
      <c r="M34" s="4"/>
    </row>
    <row r="35" spans="13:13" ht="41.25" customHeight="1" x14ac:dyDescent="0.25">
      <c r="M35" s="4"/>
    </row>
    <row r="36" spans="13:13" ht="41.25" customHeight="1" x14ac:dyDescent="0.25"/>
    <row r="37" spans="13:13" ht="41.25" customHeight="1" x14ac:dyDescent="0.25"/>
    <row r="38" spans="13:13" ht="41.25" customHeight="1" x14ac:dyDescent="0.25"/>
  </sheetData>
  <mergeCells count="4">
    <mergeCell ref="B4:B5"/>
    <mergeCell ref="C4:C5"/>
    <mergeCell ref="D4:L4"/>
    <mergeCell ref="D19:L19"/>
  </mergeCells>
  <conditionalFormatting sqref="A8:A15 M8:M15">
    <cfRule type="expression" dxfId="25" priority="2">
      <formula>$P$7&lt;&gt;1</formula>
    </cfRule>
  </conditionalFormatting>
  <conditionalFormatting sqref="A7:M7 A16:M16">
    <cfRule type="expression" dxfId="24" priority="12">
      <formula>$P$7&lt;&gt;1</formula>
    </cfRule>
  </conditionalFormatting>
  <conditionalFormatting sqref="A22:M22 A23 M23 A24:M24">
    <cfRule type="expression" dxfId="23" priority="11">
      <formula>$P$22&gt;1</formula>
    </cfRule>
  </conditionalFormatting>
  <pageMargins left="0.59055118110236227" right="0.39370078740157483" top="0.23622047244094491" bottom="0.23622047244094491" header="0.31496062992125984"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xdr:col>
                    <xdr:colOff>3762375</xdr:colOff>
                    <xdr:row>5</xdr:row>
                    <xdr:rowOff>95250</xdr:rowOff>
                  </from>
                  <to>
                    <xdr:col>2</xdr:col>
                    <xdr:colOff>4010025</xdr:colOff>
                    <xdr:row>7</xdr:row>
                    <xdr:rowOff>19050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9</xdr:col>
                    <xdr:colOff>447675</xdr:colOff>
                    <xdr:row>5</xdr:row>
                    <xdr:rowOff>95250</xdr:rowOff>
                  </from>
                  <to>
                    <xdr:col>9</xdr:col>
                    <xdr:colOff>704850</xdr:colOff>
                    <xdr:row>7</xdr:row>
                    <xdr:rowOff>19050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2</xdr:col>
                    <xdr:colOff>3743325</xdr:colOff>
                    <xdr:row>20</xdr:row>
                    <xdr:rowOff>104775</xdr:rowOff>
                  </from>
                  <to>
                    <xdr:col>2</xdr:col>
                    <xdr:colOff>3914775</xdr:colOff>
                    <xdr:row>21</xdr:row>
                    <xdr:rowOff>180975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9</xdr:col>
                    <xdr:colOff>476250</xdr:colOff>
                    <xdr:row>20</xdr:row>
                    <xdr:rowOff>104775</xdr:rowOff>
                  </from>
                  <to>
                    <xdr:col>9</xdr:col>
                    <xdr:colOff>704850</xdr:colOff>
                    <xdr:row>21</xdr:row>
                    <xdr:rowOff>180975</xdr:rowOff>
                  </to>
                </anchor>
              </controlPr>
            </control>
          </mc:Choice>
        </mc:AlternateContent>
        <mc:AlternateContent xmlns:mc="http://schemas.openxmlformats.org/markup-compatibility/2006">
          <mc:Choice Requires="x14">
            <control shapeId="39942" r:id="rId8" name="Check Box 6">
              <controlPr defaultSize="0" autoFill="0" autoLine="0" autoPict="0">
                <anchor moveWithCells="1">
                  <from>
                    <xdr:col>1</xdr:col>
                    <xdr:colOff>85725</xdr:colOff>
                    <xdr:row>12</xdr:row>
                    <xdr:rowOff>47625</xdr:rowOff>
                  </from>
                  <to>
                    <xdr:col>1</xdr:col>
                    <xdr:colOff>276225</xdr:colOff>
                    <xdr:row>12</xdr:row>
                    <xdr:rowOff>428625</xdr:rowOff>
                  </to>
                </anchor>
              </controlPr>
            </control>
          </mc:Choice>
        </mc:AlternateContent>
        <mc:AlternateContent xmlns:mc="http://schemas.openxmlformats.org/markup-compatibility/2006">
          <mc:Choice Requires="x14">
            <control shapeId="39947" r:id="rId9" name="Check Box 11">
              <controlPr defaultSize="0" autoFill="0" autoLine="0" autoPict="0">
                <anchor moveWithCells="1">
                  <from>
                    <xdr:col>1</xdr:col>
                    <xdr:colOff>85725</xdr:colOff>
                    <xdr:row>13</xdr:row>
                    <xdr:rowOff>47625</xdr:rowOff>
                  </from>
                  <to>
                    <xdr:col>1</xdr:col>
                    <xdr:colOff>276225</xdr:colOff>
                    <xdr:row>13</xdr:row>
                    <xdr:rowOff>428625</xdr:rowOff>
                  </to>
                </anchor>
              </controlPr>
            </control>
          </mc:Choice>
        </mc:AlternateContent>
        <mc:AlternateContent xmlns:mc="http://schemas.openxmlformats.org/markup-compatibility/2006">
          <mc:Choice Requires="x14">
            <control shapeId="39951" r:id="rId10" name="Check Box 15">
              <controlPr defaultSize="0" autoFill="0" autoLine="0" autoPict="0">
                <anchor moveWithCells="1">
                  <from>
                    <xdr:col>1</xdr:col>
                    <xdr:colOff>95250</xdr:colOff>
                    <xdr:row>8</xdr:row>
                    <xdr:rowOff>38100</xdr:rowOff>
                  </from>
                  <to>
                    <xdr:col>1</xdr:col>
                    <xdr:colOff>285750</xdr:colOff>
                    <xdr:row>8</xdr:row>
                    <xdr:rowOff>419100</xdr:rowOff>
                  </to>
                </anchor>
              </controlPr>
            </control>
          </mc:Choice>
        </mc:AlternateContent>
        <mc:AlternateContent xmlns:mc="http://schemas.openxmlformats.org/markup-compatibility/2006">
          <mc:Choice Requires="x14">
            <control shapeId="39952" r:id="rId11" name="Check Box 16">
              <controlPr defaultSize="0" autoFill="0" autoLine="0" autoPict="0">
                <anchor moveWithCells="1">
                  <from>
                    <xdr:col>1</xdr:col>
                    <xdr:colOff>95250</xdr:colOff>
                    <xdr:row>9</xdr:row>
                    <xdr:rowOff>38100</xdr:rowOff>
                  </from>
                  <to>
                    <xdr:col>1</xdr:col>
                    <xdr:colOff>285750</xdr:colOff>
                    <xdr:row>9</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showGridLines="0" tabSelected="1" zoomScaleNormal="100" workbookViewId="0">
      <selection activeCell="R1" sqref="R1"/>
    </sheetView>
  </sheetViews>
  <sheetFormatPr defaultColWidth="9.140625" defaultRowHeight="15" x14ac:dyDescent="0.25"/>
  <cols>
    <col min="1" max="1" width="1.28515625" customWidth="1"/>
    <col min="2" max="2" width="35.85546875" customWidth="1"/>
    <col min="3" max="3" width="62.85546875" customWidth="1"/>
    <col min="4" max="12" width="12.7109375" customWidth="1"/>
    <col min="13" max="13" width="1.5703125" customWidth="1"/>
    <col min="14" max="14" width="8.28515625" customWidth="1"/>
    <col min="15" max="15" width="0.140625" hidden="1" customWidth="1"/>
    <col min="16" max="16" width="18.140625" hidden="1" customWidth="1"/>
    <col min="17" max="17" width="0.42578125" hidden="1" customWidth="1"/>
    <col min="18" max="18" width="19.5703125" customWidth="1"/>
    <col min="19" max="19" width="8.85546875" customWidth="1"/>
    <col min="20" max="20" width="15.28515625" customWidth="1"/>
    <col min="21" max="21" width="4.28515625" customWidth="1"/>
  </cols>
  <sheetData>
    <row r="1" spans="1:17" ht="120" customHeight="1" x14ac:dyDescent="0.25">
      <c r="B1" s="163" t="s">
        <v>203</v>
      </c>
      <c r="C1" s="163"/>
      <c r="D1" s="163"/>
      <c r="E1" s="163"/>
      <c r="F1" s="163"/>
      <c r="G1" s="163"/>
      <c r="H1" s="163"/>
      <c r="I1" s="163"/>
      <c r="J1" s="163"/>
      <c r="K1" s="163"/>
      <c r="L1" s="163"/>
    </row>
    <row r="4" spans="1:17" ht="102.75" customHeight="1" x14ac:dyDescent="0.25"/>
    <row r="5" spans="1:17" ht="29.25" thickBot="1" x14ac:dyDescent="0.5">
      <c r="B5" s="35" t="s">
        <v>193</v>
      </c>
      <c r="C5" s="35"/>
      <c r="D5" s="35"/>
      <c r="E5" s="82"/>
      <c r="F5" s="35"/>
      <c r="G5" s="35"/>
      <c r="H5" s="35"/>
      <c r="I5" s="35"/>
      <c r="J5" s="35"/>
      <c r="K5" s="35"/>
      <c r="L5" s="35"/>
    </row>
    <row r="6" spans="1:17" ht="26.25" customHeight="1" thickTop="1" thickBot="1" x14ac:dyDescent="0.3">
      <c r="B6" s="106" t="s">
        <v>3</v>
      </c>
      <c r="C6" s="108" t="s">
        <v>0</v>
      </c>
      <c r="D6" s="110" t="s">
        <v>7</v>
      </c>
      <c r="E6" s="110"/>
      <c r="F6" s="110"/>
      <c r="G6" s="110"/>
      <c r="H6" s="110"/>
      <c r="I6" s="110"/>
      <c r="J6" s="110"/>
      <c r="K6" s="110"/>
      <c r="L6" s="111"/>
    </row>
    <row r="7" spans="1:17" ht="21.75" customHeight="1" thickTop="1" thickBot="1" x14ac:dyDescent="0.3">
      <c r="B7" s="107"/>
      <c r="C7" s="109"/>
      <c r="D7" s="1" t="s">
        <v>1</v>
      </c>
      <c r="E7" s="1" t="s">
        <v>36</v>
      </c>
      <c r="F7" s="2" t="s">
        <v>37</v>
      </c>
      <c r="G7" s="1" t="s">
        <v>38</v>
      </c>
      <c r="H7" s="2" t="s">
        <v>39</v>
      </c>
      <c r="I7" s="1" t="s">
        <v>40</v>
      </c>
      <c r="J7" s="1" t="s">
        <v>41</v>
      </c>
      <c r="K7" s="1" t="s">
        <v>35</v>
      </c>
      <c r="L7" s="3" t="s">
        <v>34</v>
      </c>
    </row>
    <row r="8" spans="1:17" ht="9.75" customHeight="1" thickTop="1" x14ac:dyDescent="0.25">
      <c r="B8" s="13"/>
    </row>
    <row r="9" spans="1:17" ht="15.75" thickBot="1" x14ac:dyDescent="0.3">
      <c r="A9" s="19"/>
      <c r="B9" s="20" t="s">
        <v>32</v>
      </c>
      <c r="C9" s="19"/>
      <c r="D9" s="30" t="s">
        <v>168</v>
      </c>
      <c r="E9" s="30"/>
      <c r="F9" s="19"/>
      <c r="G9" s="19"/>
      <c r="H9" s="19"/>
      <c r="I9" s="19"/>
      <c r="J9" s="19"/>
      <c r="K9" s="30" t="s">
        <v>86</v>
      </c>
      <c r="L9" s="30"/>
      <c r="M9" s="19"/>
      <c r="O9" t="b">
        <v>0</v>
      </c>
      <c r="P9" s="37">
        <f>IF(O9,IF(Q9,1.6,1.35),IF(Q9,1.1,1))</f>
        <v>1</v>
      </c>
      <c r="Q9" t="b">
        <v>0</v>
      </c>
    </row>
    <row r="10" spans="1:17" ht="41.25" customHeight="1" thickTop="1" thickBot="1" x14ac:dyDescent="0.3">
      <c r="A10" s="19"/>
      <c r="B10" s="14" t="str">
        <f>IF($Q$9,IF($O$9,"DLLNX.CB.FW-IPS.x.36M247","DLLNX.CB.FW-IPS.x.12M247"),IF($O$9,"DLLNX.CB.FW-IPS.x.36M","DLLNX.CB.FW-IPS.x.z"))</f>
        <v>DLLNX.CB.FW-IPS.x.z</v>
      </c>
      <c r="C10" s="7" t="s">
        <v>192</v>
      </c>
      <c r="D10" s="63">
        <f>$P$9*7100</f>
        <v>7100</v>
      </c>
      <c r="E10" s="63">
        <f>$P$9*6700</f>
        <v>6700</v>
      </c>
      <c r="F10" s="63">
        <f>$P$9*6300</f>
        <v>6300</v>
      </c>
      <c r="G10" s="63">
        <f>$P$9*5900</f>
        <v>5900</v>
      </c>
      <c r="H10" s="63">
        <f>$P$9*5500</f>
        <v>5500</v>
      </c>
      <c r="I10" s="63">
        <f>$P$9*5000</f>
        <v>5000</v>
      </c>
      <c r="J10" s="63">
        <f>$P$9*4000</f>
        <v>4000</v>
      </c>
      <c r="K10" s="64" t="s">
        <v>2</v>
      </c>
      <c r="L10" s="64" t="s">
        <v>2</v>
      </c>
      <c r="M10" s="19"/>
      <c r="P10">
        <v>1</v>
      </c>
      <c r="Q10" t="b">
        <v>0</v>
      </c>
    </row>
    <row r="11" spans="1:17" ht="37.5" customHeight="1" thickTop="1" thickBot="1" x14ac:dyDescent="0.3">
      <c r="A11" s="19"/>
      <c r="B11" s="14" t="str">
        <f>IF($Q$9,IF($O$9,"DLLNX.CB.UADS-FW-IPS.x.36M247","DLLNX.CB.UADS-FW-IPS.x.12M247"),IF($O$9,"DLLNX.CB.UADS-FW-IPS.x.36M","DLLNX.CB.UADS-FW-IPS.x.z"))</f>
        <v>DLLNX.CB.UADS-FW-IPS.x.z</v>
      </c>
      <c r="C11" s="7" t="s">
        <v>191</v>
      </c>
      <c r="D11" s="63">
        <f>$P$9*11900</f>
        <v>11900</v>
      </c>
      <c r="E11" s="63">
        <f>$P$9*11200</f>
        <v>11200</v>
      </c>
      <c r="F11" s="63">
        <f>$P$9*10800</f>
        <v>10800</v>
      </c>
      <c r="G11" s="63">
        <f>$P$9*10200</f>
        <v>10200</v>
      </c>
      <c r="H11" s="63">
        <f>$P$9*9700</f>
        <v>9700</v>
      </c>
      <c r="I11" s="63">
        <f>$P$9*9500</f>
        <v>9500</v>
      </c>
      <c r="J11" s="63">
        <f>$P$9*7200</f>
        <v>7200</v>
      </c>
      <c r="K11" s="64" t="s">
        <v>2</v>
      </c>
      <c r="L11" s="64" t="s">
        <v>2</v>
      </c>
      <c r="M11" s="19"/>
    </row>
    <row r="12" spans="1:17" ht="9.75" customHeight="1" thickTop="1" x14ac:dyDescent="0.25">
      <c r="A12" s="19"/>
      <c r="B12" s="21"/>
      <c r="C12" s="19"/>
      <c r="D12" s="19"/>
      <c r="E12" s="19"/>
      <c r="F12" s="19"/>
      <c r="G12" s="19"/>
      <c r="H12" s="19"/>
      <c r="I12" s="19"/>
      <c r="J12" s="19"/>
      <c r="K12" s="19"/>
      <c r="L12" s="19"/>
      <c r="M12" s="19"/>
    </row>
    <row r="13" spans="1:17" ht="9.75" customHeight="1" x14ac:dyDescent="0.25">
      <c r="B13" s="13"/>
    </row>
    <row r="14" spans="1:17" ht="15.75" thickBot="1" x14ac:dyDescent="0.3">
      <c r="A14" s="19"/>
      <c r="B14" s="20" t="s">
        <v>136</v>
      </c>
      <c r="C14" s="19"/>
      <c r="D14" s="30" t="s">
        <v>168</v>
      </c>
      <c r="E14" s="30"/>
      <c r="F14" s="19"/>
      <c r="G14" s="19"/>
      <c r="H14" s="19"/>
      <c r="I14" s="19"/>
      <c r="J14" s="19"/>
      <c r="K14" s="30" t="s">
        <v>86</v>
      </c>
      <c r="L14" s="30"/>
      <c r="M14" s="19"/>
      <c r="O14" s="72" t="b">
        <v>0</v>
      </c>
      <c r="P14" s="73">
        <f>IF(O14,IF(Q14,1.6,1.35),IF(Q14,1.1,1))</f>
        <v>1</v>
      </c>
      <c r="Q14" s="72" t="b">
        <v>0</v>
      </c>
    </row>
    <row r="15" spans="1:17" ht="41.25" customHeight="1" thickTop="1" thickBot="1" x14ac:dyDescent="0.3">
      <c r="A15" s="19"/>
      <c r="B15" s="14" t="str">
        <f>IF($Q$14,IF($O$14,"DLMC.S.N3.x.36M247","DLMC.S.N3.x.12M247"),IF($O$14,"DLMC.S.N3.x.36M","DLMC.S.N3.x.z"))</f>
        <v>DLMC.S.N3.x.z</v>
      </c>
      <c r="C15" s="7" t="s">
        <v>167</v>
      </c>
      <c r="D15" s="5">
        <f>$P$14*20000</f>
        <v>20000</v>
      </c>
      <c r="E15" s="5">
        <f>$P$14*30000</f>
        <v>30000</v>
      </c>
      <c r="F15" s="5">
        <f>$P$14*70000</f>
        <v>70000</v>
      </c>
      <c r="G15" s="5">
        <f>$P$14*120000</f>
        <v>120000</v>
      </c>
      <c r="H15" s="5">
        <f>$P$14*200000</f>
        <v>200000</v>
      </c>
      <c r="I15" s="5">
        <f>$P$14*290000</f>
        <v>290000</v>
      </c>
      <c r="J15" s="5">
        <f>$P$14*380000</f>
        <v>380000</v>
      </c>
      <c r="K15" s="5">
        <f>$P$14*450000</f>
        <v>450000</v>
      </c>
      <c r="L15" s="5">
        <f>$P$14*900000</f>
        <v>900000</v>
      </c>
      <c r="M15" s="19"/>
    </row>
    <row r="16" spans="1:17" ht="17.25" customHeight="1" thickTop="1" x14ac:dyDescent="0.25">
      <c r="A16" s="19"/>
      <c r="B16" s="20"/>
      <c r="C16" s="19"/>
      <c r="D16" s="19"/>
      <c r="E16" s="19"/>
      <c r="F16" s="19"/>
      <c r="G16" s="19"/>
      <c r="H16" s="19"/>
      <c r="I16" s="19"/>
      <c r="J16" s="19"/>
      <c r="K16" s="19"/>
      <c r="L16" s="19"/>
      <c r="M16" s="19"/>
    </row>
    <row r="17" spans="1:13" ht="57.75" customHeight="1" x14ac:dyDescent="0.25">
      <c r="B17" s="13"/>
    </row>
    <row r="18" spans="1:13" x14ac:dyDescent="0.25">
      <c r="A18" s="17"/>
      <c r="B18" s="18" t="s">
        <v>42</v>
      </c>
      <c r="C18" s="17"/>
      <c r="D18" s="17"/>
      <c r="E18" s="17"/>
      <c r="F18" s="17"/>
      <c r="G18" s="17"/>
      <c r="H18" s="17"/>
      <c r="I18" s="17"/>
      <c r="J18" s="17"/>
      <c r="K18" s="17"/>
      <c r="L18" s="17"/>
      <c r="M18" s="17"/>
    </row>
    <row r="19" spans="1:13" ht="41.25" customHeight="1" x14ac:dyDescent="0.25">
      <c r="M19" s="4"/>
    </row>
    <row r="20" spans="1:13" ht="41.25" customHeight="1" x14ac:dyDescent="0.25">
      <c r="M20" s="4"/>
    </row>
    <row r="21" spans="1:13" ht="41.25" customHeight="1" x14ac:dyDescent="0.25">
      <c r="M21" s="4"/>
    </row>
    <row r="22" spans="1:13" ht="41.25" customHeight="1" x14ac:dyDescent="0.25">
      <c r="M22" s="4"/>
    </row>
    <row r="23" spans="1:13" ht="41.25" customHeight="1" x14ac:dyDescent="0.25">
      <c r="M23" s="4"/>
    </row>
    <row r="24" spans="1:13" ht="41.25" customHeight="1" x14ac:dyDescent="0.25">
      <c r="M24" s="4"/>
    </row>
    <row r="25" spans="1:13" ht="41.25" customHeight="1" x14ac:dyDescent="0.25">
      <c r="M25" s="4"/>
    </row>
    <row r="26" spans="1:13" ht="41.25" customHeight="1" x14ac:dyDescent="0.25">
      <c r="M26" s="4"/>
    </row>
    <row r="27" spans="1:13" ht="41.25" customHeight="1" x14ac:dyDescent="0.25">
      <c r="M27" s="4"/>
    </row>
    <row r="28" spans="1:13" ht="41.25" customHeight="1" x14ac:dyDescent="0.25"/>
    <row r="29" spans="1:13" ht="41.25" customHeight="1" x14ac:dyDescent="0.25"/>
    <row r="30" spans="1:13" ht="41.25" customHeight="1" x14ac:dyDescent="0.25"/>
  </sheetData>
  <mergeCells count="4">
    <mergeCell ref="B6:B7"/>
    <mergeCell ref="C6:C7"/>
    <mergeCell ref="D6:L6"/>
    <mergeCell ref="B1:L1"/>
  </mergeCells>
  <conditionalFormatting sqref="A9:M9 A10:A11 M10:M11">
    <cfRule type="expression" dxfId="22" priority="5">
      <formula>$P$9&lt;&gt;1</formula>
    </cfRule>
  </conditionalFormatting>
  <conditionalFormatting sqref="A14:M14 A15 M15 A16:M16">
    <cfRule type="expression" dxfId="21" priority="4">
      <formula>$P$14&gt;1</formula>
    </cfRule>
  </conditionalFormatting>
  <pageMargins left="0.59055118110236227" right="0.39370078740157483" top="0.23622047244094491" bottom="0.23622047244094491" header="0.31496062992125984"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2</xdr:col>
                    <xdr:colOff>3762375</xdr:colOff>
                    <xdr:row>7</xdr:row>
                    <xdr:rowOff>95250</xdr:rowOff>
                  </from>
                  <to>
                    <xdr:col>2</xdr:col>
                    <xdr:colOff>4010025</xdr:colOff>
                    <xdr:row>9</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9</xdr:col>
                    <xdr:colOff>447675</xdr:colOff>
                    <xdr:row>7</xdr:row>
                    <xdr:rowOff>95250</xdr:rowOff>
                  </from>
                  <to>
                    <xdr:col>9</xdr:col>
                    <xdr:colOff>704850</xdr:colOff>
                    <xdr:row>9</xdr:row>
                    <xdr:rowOff>19050</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2</xdr:col>
                    <xdr:colOff>3743325</xdr:colOff>
                    <xdr:row>12</xdr:row>
                    <xdr:rowOff>104775</xdr:rowOff>
                  </from>
                  <to>
                    <xdr:col>2</xdr:col>
                    <xdr:colOff>3914775</xdr:colOff>
                    <xdr:row>13</xdr:row>
                    <xdr:rowOff>180975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9</xdr:col>
                    <xdr:colOff>476250</xdr:colOff>
                    <xdr:row>12</xdr:row>
                    <xdr:rowOff>104775</xdr:rowOff>
                  </from>
                  <to>
                    <xdr:col>9</xdr:col>
                    <xdr:colOff>704850</xdr:colOff>
                    <xdr:row>13</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2:Y38"/>
  <sheetViews>
    <sheetView showGridLines="0" showRowColHeaders="0" topLeftCell="A45" zoomScaleNormal="100" workbookViewId="0">
      <selection activeCell="AD23" sqref="AD23"/>
    </sheetView>
  </sheetViews>
  <sheetFormatPr defaultColWidth="9.140625" defaultRowHeight="15" x14ac:dyDescent="0.25"/>
  <cols>
    <col min="1" max="2" width="1.28515625" customWidth="1"/>
    <col min="3" max="3" width="26.85546875" customWidth="1"/>
    <col min="4" max="4" width="59.42578125" customWidth="1"/>
    <col min="5" max="13" width="10.5703125" customWidth="1"/>
    <col min="14" max="15" width="1.28515625" customWidth="1"/>
    <col min="16" max="16" width="7" hidden="1" customWidth="1"/>
    <col min="17" max="17" width="14.7109375" hidden="1" customWidth="1"/>
    <col min="18" max="18" width="8.7109375" hidden="1" customWidth="1"/>
    <col min="19" max="19" width="10.42578125" hidden="1" customWidth="1"/>
    <col min="20" max="20" width="15.42578125" hidden="1" customWidth="1"/>
    <col min="21" max="21" width="14.85546875" hidden="1" customWidth="1"/>
    <col min="22" max="22" width="25.140625" hidden="1" customWidth="1"/>
    <col min="23" max="23" width="23.85546875" hidden="1" customWidth="1"/>
    <col min="24" max="24" width="21.28515625" hidden="1" customWidth="1"/>
    <col min="25" max="25" width="15.28515625" hidden="1" customWidth="1"/>
  </cols>
  <sheetData>
    <row r="2" spans="1:24" ht="85.5" customHeight="1" x14ac:dyDescent="0.25"/>
    <row r="3" spans="1:24" ht="29.25" thickBot="1" x14ac:dyDescent="0.5">
      <c r="C3" s="35" t="s">
        <v>31</v>
      </c>
      <c r="D3" s="35"/>
      <c r="E3" s="35"/>
      <c r="F3" s="81" t="s">
        <v>72</v>
      </c>
      <c r="G3" s="35"/>
      <c r="H3" s="35"/>
      <c r="I3" s="35"/>
      <c r="J3" s="35"/>
      <c r="K3" s="35"/>
      <c r="L3" s="35"/>
      <c r="M3" s="35"/>
    </row>
    <row r="4" spans="1:24" ht="26.25" customHeight="1" thickTop="1" thickBot="1" x14ac:dyDescent="0.3">
      <c r="C4" s="106" t="s">
        <v>3</v>
      </c>
      <c r="D4" s="108" t="s">
        <v>0</v>
      </c>
      <c r="E4" s="126" t="s">
        <v>87</v>
      </c>
      <c r="F4" s="126"/>
      <c r="G4" s="126"/>
      <c r="H4" s="126"/>
      <c r="I4" s="126"/>
      <c r="J4" s="126"/>
      <c r="K4" s="126"/>
      <c r="L4" s="126"/>
      <c r="M4" s="127"/>
    </row>
    <row r="5" spans="1:24" ht="21.75" customHeight="1" thickTop="1" thickBot="1" x14ac:dyDescent="0.3">
      <c r="C5" s="107"/>
      <c r="D5" s="109"/>
      <c r="E5" s="1" t="s">
        <v>1</v>
      </c>
      <c r="F5" s="1" t="s">
        <v>36</v>
      </c>
      <c r="G5" s="2" t="s">
        <v>37</v>
      </c>
      <c r="H5" s="1" t="s">
        <v>38</v>
      </c>
      <c r="I5" s="2" t="s">
        <v>39</v>
      </c>
      <c r="J5" s="1" t="s">
        <v>40</v>
      </c>
      <c r="K5" s="1" t="s">
        <v>41</v>
      </c>
      <c r="L5" s="1" t="s">
        <v>35</v>
      </c>
      <c r="M5" s="3" t="s">
        <v>34</v>
      </c>
    </row>
    <row r="6" spans="1:24" ht="9.75" customHeight="1" thickTop="1" x14ac:dyDescent="0.25">
      <c r="C6" s="13"/>
    </row>
    <row r="7" spans="1:24" ht="9.75" customHeight="1" x14ac:dyDescent="0.25">
      <c r="C7" s="13"/>
    </row>
    <row r="8" spans="1:24" x14ac:dyDescent="0.25">
      <c r="A8" s="19"/>
      <c r="B8" s="19"/>
      <c r="C8" s="20" t="s">
        <v>32</v>
      </c>
      <c r="D8" s="19"/>
      <c r="E8" s="30" t="s">
        <v>43</v>
      </c>
      <c r="F8" s="30"/>
      <c r="G8" s="19"/>
      <c r="H8" s="19"/>
      <c r="I8" s="19"/>
      <c r="J8" s="19"/>
      <c r="K8" s="19"/>
      <c r="L8" s="19"/>
      <c r="M8" s="30" t="s">
        <v>86</v>
      </c>
      <c r="N8" s="19"/>
      <c r="O8" s="19"/>
      <c r="Q8" s="45" t="b">
        <v>0</v>
      </c>
      <c r="R8" s="37">
        <f>IF(Q8,IF(U8,1.6,1.35),IF(U8,1.1,1))</f>
        <v>1</v>
      </c>
      <c r="S8">
        <v>0</v>
      </c>
      <c r="T8">
        <v>0</v>
      </c>
      <c r="U8" t="b">
        <v>0</v>
      </c>
    </row>
    <row r="9" spans="1:24" ht="9.75" customHeight="1" thickBot="1" x14ac:dyDescent="0.3">
      <c r="A9" s="19"/>
      <c r="B9" s="46"/>
      <c r="C9" s="47"/>
      <c r="D9" s="46"/>
      <c r="E9" s="48"/>
      <c r="F9" s="48"/>
      <c r="G9" s="46"/>
      <c r="H9" s="46"/>
      <c r="I9" s="46"/>
      <c r="J9" s="46"/>
      <c r="K9" s="46"/>
      <c r="L9" s="46"/>
      <c r="M9" s="48"/>
      <c r="N9" s="46"/>
      <c r="O9" s="19"/>
      <c r="Q9" s="45"/>
      <c r="R9" s="37"/>
    </row>
    <row r="10" spans="1:24" ht="40.5" customHeight="1" thickTop="1" thickBot="1" x14ac:dyDescent="0.3">
      <c r="A10" s="19"/>
      <c r="B10" s="46"/>
      <c r="C10" s="28" t="str">
        <f>IF($U$8,IF($Q$8,"DL80K.C.UADS.x.36M247","DL80K.C.UADS.x.12M247"),IF($Q$8,"DL80K.C.UADS.x.36M","DL80K.C.UADS.x.z"))</f>
        <v>DL80K.C.UADS.x.z</v>
      </c>
      <c r="D10" s="24" t="s">
        <v>30</v>
      </c>
      <c r="E10" s="25">
        <f>$R$8*7500</f>
        <v>7500</v>
      </c>
      <c r="F10" s="25">
        <f>$R$8*7000</f>
        <v>7000</v>
      </c>
      <c r="G10" s="25">
        <f>$R$8*6600</f>
        <v>6600</v>
      </c>
      <c r="H10" s="25">
        <f>$R$8*6100</f>
        <v>6100</v>
      </c>
      <c r="I10" s="25">
        <f>$R$8*5800</f>
        <v>5800</v>
      </c>
      <c r="J10" s="25">
        <f>$R$8*4900</f>
        <v>4900</v>
      </c>
      <c r="K10" s="25">
        <f>$R$8*3800</f>
        <v>3800</v>
      </c>
      <c r="L10" s="25">
        <f>$R$8*3750</f>
        <v>3750</v>
      </c>
      <c r="M10" s="25" t="s">
        <v>2</v>
      </c>
      <c r="N10" s="46"/>
      <c r="O10" s="19"/>
      <c r="Q10" s="45"/>
      <c r="S10">
        <v>1</v>
      </c>
      <c r="T10">
        <v>0.6</v>
      </c>
    </row>
    <row r="11" spans="1:24" ht="40.5" customHeight="1" thickTop="1" thickBot="1" x14ac:dyDescent="0.3">
      <c r="A11" s="19"/>
      <c r="B11" s="46"/>
      <c r="C11" s="29" t="str">
        <f>IF($U$8,IF($Q$8,"DL80K.C.FW.x.36M247","DL80K.C.FW.x.12M247"),IF($Q$8,"DL80K.C.FW.x.36M","DL80K.C.FW.x.z"))</f>
        <v>DL80K.C.FW.x.z</v>
      </c>
      <c r="D11" s="22" t="s">
        <v>92</v>
      </c>
      <c r="E11" s="23">
        <f>$R$8*1650</f>
        <v>1650</v>
      </c>
      <c r="F11" s="23">
        <f>$R$8*1600</f>
        <v>1600</v>
      </c>
      <c r="G11" s="23">
        <f>$R$8*1550</f>
        <v>1550</v>
      </c>
      <c r="H11" s="23">
        <f>$R$8*1450</f>
        <v>1450</v>
      </c>
      <c r="I11" s="23">
        <f>$R$8*1350</f>
        <v>1350</v>
      </c>
      <c r="J11" s="23">
        <f>$R$8*1200</f>
        <v>1200</v>
      </c>
      <c r="K11" s="23">
        <f>$R$8*900</f>
        <v>900</v>
      </c>
      <c r="L11" s="23">
        <v>800</v>
      </c>
      <c r="M11" s="23" t="s">
        <v>2</v>
      </c>
      <c r="N11" s="46"/>
      <c r="O11" s="19"/>
      <c r="Q11" s="45" t="b">
        <v>0</v>
      </c>
      <c r="R11">
        <f>IF(Q11,1,0)</f>
        <v>0</v>
      </c>
      <c r="S11">
        <v>2</v>
      </c>
      <c r="T11">
        <v>0.54</v>
      </c>
      <c r="U11" t="s">
        <v>76</v>
      </c>
      <c r="V11" t="str">
        <f>IF($Q11,U11,"")</f>
        <v/>
      </c>
      <c r="W11" t="s">
        <v>81</v>
      </c>
      <c r="X11" t="str">
        <f>IF($Q11,W11,"")</f>
        <v/>
      </c>
    </row>
    <row r="12" spans="1:24" ht="40.5" customHeight="1" thickTop="1" thickBot="1" x14ac:dyDescent="0.3">
      <c r="A12" s="19"/>
      <c r="B12" s="46"/>
      <c r="C12" s="16" t="str">
        <f>IF($U$8,IF($Q$8,"DL80K.C.IPS.x.36M247","DL80K.C.IPS.x.12M247"),IF($Q$8,"DL80K.C.IPS.x.36M","DL80K.C.IPS.x.z"))</f>
        <v>DL80K.C.IPS.x.z</v>
      </c>
      <c r="D12" s="7" t="s">
        <v>93</v>
      </c>
      <c r="E12" s="5">
        <f>$R$8*5000</f>
        <v>5000</v>
      </c>
      <c r="F12" s="5">
        <f>$R$8*4750</f>
        <v>4750</v>
      </c>
      <c r="G12" s="5">
        <f>$R$8*4400</f>
        <v>4400</v>
      </c>
      <c r="H12" s="5">
        <f>$R$8*4100</f>
        <v>4100</v>
      </c>
      <c r="I12" s="5">
        <f>$R$8*4000</f>
        <v>4000</v>
      </c>
      <c r="J12" s="5">
        <f>$R$8*3500</f>
        <v>3500</v>
      </c>
      <c r="K12" s="5">
        <f>$R$8*3000</f>
        <v>3000</v>
      </c>
      <c r="L12" s="5">
        <f>$R$8*2900</f>
        <v>2900</v>
      </c>
      <c r="M12" s="5" t="s">
        <v>2</v>
      </c>
      <c r="N12" s="46"/>
      <c r="O12" s="19"/>
      <c r="Q12" s="45" t="b">
        <v>0</v>
      </c>
      <c r="R12">
        <f t="shared" ref="R12:R15" si="0">IF(Q12,1,0)</f>
        <v>0</v>
      </c>
      <c r="S12">
        <v>3</v>
      </c>
      <c r="T12">
        <v>0.5</v>
      </c>
      <c r="U12" t="s">
        <v>77</v>
      </c>
      <c r="V12" t="str">
        <f t="shared" ref="V12:X15" si="1">IF($Q12,U12,"")</f>
        <v/>
      </c>
      <c r="W12" t="s">
        <v>82</v>
      </c>
      <c r="X12" t="str">
        <f t="shared" si="1"/>
        <v/>
      </c>
    </row>
    <row r="13" spans="1:24" ht="40.5" customHeight="1" thickTop="1" thickBot="1" x14ac:dyDescent="0.3">
      <c r="A13" s="19"/>
      <c r="B13" s="46"/>
      <c r="C13" s="16" t="str">
        <f>IF($U$8,IF($Q$8,"DL80K.C.MP.x.36M247","DL80K.C.MP.x.12M247"),IF($Q$8,"DL80K.C.MP.x.36M","DL80K.C.MP.x.z"))</f>
        <v>DL80K.C.MP.x.z</v>
      </c>
      <c r="D13" s="7" t="s">
        <v>91</v>
      </c>
      <c r="E13" s="5">
        <f>$R$8*3300</f>
        <v>3300</v>
      </c>
      <c r="F13" s="5">
        <f>$R$8*3000</f>
        <v>3000</v>
      </c>
      <c r="G13" s="5">
        <f>$R$8*2700</f>
        <v>2700</v>
      </c>
      <c r="H13" s="5">
        <f>$R$8*2400</f>
        <v>2400</v>
      </c>
      <c r="I13" s="5">
        <f>$R$8*2200</f>
        <v>2200</v>
      </c>
      <c r="J13" s="5">
        <f>$R$8*2100</f>
        <v>2100</v>
      </c>
      <c r="K13" s="5">
        <f>$R$8*2000</f>
        <v>2000</v>
      </c>
      <c r="L13" s="5">
        <f>$R$8*1900</f>
        <v>1900</v>
      </c>
      <c r="M13" s="5" t="s">
        <v>2</v>
      </c>
      <c r="N13" s="46"/>
      <c r="O13" s="19"/>
      <c r="Q13" s="45" t="b">
        <v>0</v>
      </c>
      <c r="R13">
        <f t="shared" si="0"/>
        <v>0</v>
      </c>
      <c r="S13">
        <v>4</v>
      </c>
      <c r="T13">
        <v>0.47</v>
      </c>
      <c r="U13" t="s">
        <v>78</v>
      </c>
      <c r="V13" t="str">
        <f t="shared" si="1"/>
        <v/>
      </c>
      <c r="W13" t="s">
        <v>83</v>
      </c>
      <c r="X13" t="str">
        <f t="shared" si="1"/>
        <v/>
      </c>
    </row>
    <row r="14" spans="1:24" ht="40.5" customHeight="1" thickTop="1" thickBot="1" x14ac:dyDescent="0.3">
      <c r="A14" s="19"/>
      <c r="B14" s="46"/>
      <c r="C14" s="15" t="str">
        <f>IF($U$8,IF($Q$8,"DL80K.C.BR.x.36M247","DL80K.C.BR.x.12M247"),IF($Q$8,"DL80K.C.BR.x.36M","DL80K.C.BR.x.z"))</f>
        <v>DL80K.C.BR.x.z</v>
      </c>
      <c r="D14" s="8" t="s">
        <v>101</v>
      </c>
      <c r="E14" s="6">
        <f>$R$8*2000</f>
        <v>2000</v>
      </c>
      <c r="F14" s="6">
        <f>$R$8*1900</f>
        <v>1900</v>
      </c>
      <c r="G14" s="6">
        <f>$R$8*1800</f>
        <v>1800</v>
      </c>
      <c r="H14" s="6">
        <f>$R$8*1750</f>
        <v>1750</v>
      </c>
      <c r="I14" s="6">
        <f>$R$8*1700</f>
        <v>1700</v>
      </c>
      <c r="J14" s="6">
        <f>$R$8*1600</f>
        <v>1600</v>
      </c>
      <c r="K14" s="6">
        <f>$R$8*1500</f>
        <v>1500</v>
      </c>
      <c r="L14" s="6">
        <f>$R$8*1450</f>
        <v>1450</v>
      </c>
      <c r="M14" s="6" t="s">
        <v>2</v>
      </c>
      <c r="N14" s="46"/>
      <c r="O14" s="19"/>
      <c r="Q14" s="45" t="b">
        <v>0</v>
      </c>
      <c r="R14">
        <f t="shared" si="0"/>
        <v>0</v>
      </c>
      <c r="S14">
        <v>5</v>
      </c>
      <c r="T14">
        <v>0.44999999999999996</v>
      </c>
      <c r="U14" t="s">
        <v>79</v>
      </c>
      <c r="V14" t="str">
        <f t="shared" si="1"/>
        <v/>
      </c>
      <c r="W14" t="s">
        <v>84</v>
      </c>
      <c r="X14" t="str">
        <f t="shared" si="1"/>
        <v/>
      </c>
    </row>
    <row r="15" spans="1:24" ht="40.5" customHeight="1" thickTop="1" thickBot="1" x14ac:dyDescent="0.3">
      <c r="A15" s="19"/>
      <c r="B15" s="46"/>
      <c r="C15" s="16" t="str">
        <f>IF($U$8,IF($Q$8,"DL80K.C.ITC.x.36M247","DL80K.C.ITC.x.12M247"),IF($Q$8,"DL80K.C.ITC.x.36M","DL80K.C.ITC.x.z"))</f>
        <v>DL80K.C.ITC.x.z</v>
      </c>
      <c r="D15" s="7" t="s">
        <v>94</v>
      </c>
      <c r="E15" s="5">
        <f>$R$8*1500</f>
        <v>1500</v>
      </c>
      <c r="F15" s="5">
        <f>$R$8*1450</f>
        <v>1450</v>
      </c>
      <c r="G15" s="5">
        <f>$R$8*1400</f>
        <v>1400</v>
      </c>
      <c r="H15" s="5">
        <f>$R$8*1350</f>
        <v>1350</v>
      </c>
      <c r="I15" s="5">
        <f>$R$8*1300</f>
        <v>1300</v>
      </c>
      <c r="J15" s="5">
        <f>$R$8*1250</f>
        <v>1250</v>
      </c>
      <c r="K15" s="5">
        <f>$R$8*1200</f>
        <v>1200</v>
      </c>
      <c r="L15" s="5">
        <f>$R$8*1150</f>
        <v>1150</v>
      </c>
      <c r="M15" s="5" t="s">
        <v>2</v>
      </c>
      <c r="N15" s="46"/>
      <c r="O15" s="19"/>
      <c r="Q15" s="45" t="b">
        <v>0</v>
      </c>
      <c r="R15">
        <f t="shared" si="0"/>
        <v>0</v>
      </c>
      <c r="S15">
        <v>6</v>
      </c>
      <c r="T15">
        <v>0.44999999999999996</v>
      </c>
      <c r="U15" t="s">
        <v>80</v>
      </c>
      <c r="V15" t="str">
        <f t="shared" si="1"/>
        <v/>
      </c>
      <c r="W15" t="s">
        <v>85</v>
      </c>
      <c r="X15" t="str">
        <f t="shared" si="1"/>
        <v/>
      </c>
    </row>
    <row r="16" spans="1:24" ht="31.5" customHeight="1" thickTop="1" thickBot="1" x14ac:dyDescent="0.3">
      <c r="A16" s="19"/>
      <c r="B16" s="46"/>
      <c r="C16" s="41" t="str">
        <f>IF($U$8,IF($Q$8,"DL80K.C.UADS"&amp;V16&amp;".x.36M247","DL80K.C.UADS"&amp;V16&amp;".x.12M247"),IF($Q$8,"DL80K.C.UADS"&amp;V16&amp;".x.36M","DL80K.C.UADS"&amp;V16&amp;".x.z"))</f>
        <v>DL80K.C.UADS.x.z</v>
      </c>
      <c r="D16" s="42" t="str">
        <f>"Dallas Lock 8.0-К (СЗИ НСД, СКН"&amp;X16&amp;").
Право на использование**. Бессрочная лицензия."</f>
        <v>Dallas Lock 8.0-К (СЗИ НСД, СКН).
Право на использование**. Бессрочная лицензия.</v>
      </c>
      <c r="E16" s="53">
        <f>E10+SUMPRODUCT(E11:E15,$R$11:$R$15)</f>
        <v>7500</v>
      </c>
      <c r="F16" s="53">
        <f t="shared" ref="F16:L16" si="2">F10+SUMPRODUCT(F11:F15,$R$11:$R$15)</f>
        <v>7000</v>
      </c>
      <c r="G16" s="53">
        <f t="shared" si="2"/>
        <v>6600</v>
      </c>
      <c r="H16" s="53">
        <f t="shared" si="2"/>
        <v>6100</v>
      </c>
      <c r="I16" s="53">
        <f t="shared" si="2"/>
        <v>5800</v>
      </c>
      <c r="J16" s="53">
        <f t="shared" si="2"/>
        <v>4900</v>
      </c>
      <c r="K16" s="53">
        <f t="shared" si="2"/>
        <v>3800</v>
      </c>
      <c r="L16" s="53">
        <f t="shared" si="2"/>
        <v>3750</v>
      </c>
      <c r="M16" s="43" t="s">
        <v>2</v>
      </c>
      <c r="N16" s="46"/>
      <c r="O16" s="19"/>
      <c r="V16" t="str">
        <f>IF(CONCATENATE(V11,V12,V13,V14,V15)&lt;&gt;"","-"&amp;LEFT(CONCATENATE(V11,V12,V13,V14,V15),LEN(CONCATENATE(V11,V12,V13,V14,V15))-1),"")</f>
        <v/>
      </c>
      <c r="X16" t="str">
        <f>IF(CONCATENATE(X11,X12,X13,X14,X15)&lt;&gt;"",", "&amp;LEFT(CONCATENATE(X11,X12,X13,X14,X15),LEN(CONCATENATE(X11,X12,X13,X14,X15))-2),"")</f>
        <v/>
      </c>
    </row>
    <row r="17" spans="1:21" ht="12" hidden="1" customHeight="1" thickTop="1" thickBot="1" x14ac:dyDescent="0.3">
      <c r="A17" s="19"/>
      <c r="B17" s="46"/>
      <c r="C17" s="128"/>
      <c r="D17" s="129"/>
      <c r="E17" s="44"/>
      <c r="F17" s="44"/>
      <c r="G17" s="44"/>
      <c r="H17" s="44"/>
      <c r="I17" s="44"/>
      <c r="J17" s="44"/>
      <c r="K17" s="44"/>
      <c r="L17" s="44"/>
      <c r="M17" s="43"/>
      <c r="N17" s="46"/>
      <c r="O17" s="19"/>
    </row>
    <row r="18" spans="1:21" ht="9.75" customHeight="1" thickTop="1" thickBot="1" x14ac:dyDescent="0.3">
      <c r="A18" s="19"/>
      <c r="B18" s="46"/>
      <c r="C18" s="47"/>
      <c r="D18" s="46"/>
      <c r="E18" s="48"/>
      <c r="F18" s="48"/>
      <c r="G18" s="46"/>
      <c r="H18" s="46"/>
      <c r="I18" s="46"/>
      <c r="J18" s="46"/>
      <c r="K18" s="46"/>
      <c r="L18" s="46"/>
      <c r="M18" s="48"/>
      <c r="N18" s="46"/>
      <c r="O18" s="19"/>
      <c r="Q18" s="45"/>
      <c r="R18" s="37"/>
    </row>
    <row r="19" spans="1:21" ht="40.5" customHeight="1" thickTop="1" thickBot="1" x14ac:dyDescent="0.3">
      <c r="A19" s="19"/>
      <c r="B19" s="19"/>
      <c r="C19" s="27" t="str">
        <f>IF($U$8,IF($Q$8,"DL80.T.х.36M247","DL80.T.х.12M247"),IF($Q$8,"DL80.T.х.36M","DL80.T.х.z"))</f>
        <v>DL80.T.х.z</v>
      </c>
      <c r="D19" s="8" t="s">
        <v>90</v>
      </c>
      <c r="E19" s="6">
        <f>$R$8*2800</f>
        <v>2800</v>
      </c>
      <c r="F19" s="6">
        <f>$R$8*2500</f>
        <v>2500</v>
      </c>
      <c r="G19" s="6">
        <f>$R$8*2200</f>
        <v>2200</v>
      </c>
      <c r="H19" s="6">
        <f>$R$8*1900</f>
        <v>1900</v>
      </c>
      <c r="I19" s="6">
        <f>$R$8*1700</f>
        <v>1700</v>
      </c>
      <c r="J19" s="6">
        <f>$R$8*1600</f>
        <v>1600</v>
      </c>
      <c r="K19" s="6">
        <f>$R$8*1500</f>
        <v>1500</v>
      </c>
      <c r="L19" s="6" t="s">
        <v>2</v>
      </c>
      <c r="M19" s="6" t="s">
        <v>2</v>
      </c>
      <c r="N19" s="19"/>
      <c r="O19" s="19"/>
    </row>
    <row r="20" spans="1:21" ht="6.75" customHeight="1" thickTop="1" x14ac:dyDescent="0.25">
      <c r="A20" s="19"/>
      <c r="B20" s="19"/>
      <c r="C20" s="21"/>
      <c r="D20" s="19"/>
      <c r="E20" s="19"/>
      <c r="F20" s="19"/>
      <c r="G20" s="19"/>
      <c r="H20" s="19"/>
      <c r="I20" s="19"/>
      <c r="J20" s="19"/>
      <c r="K20" s="19"/>
      <c r="L20" s="19"/>
      <c r="M20" s="19"/>
      <c r="N20" s="19"/>
      <c r="O20" s="19"/>
    </row>
    <row r="21" spans="1:21" ht="9.75" customHeight="1" x14ac:dyDescent="0.25">
      <c r="C21" s="13"/>
    </row>
    <row r="22" spans="1:21" ht="15.75" thickBot="1" x14ac:dyDescent="0.3">
      <c r="A22" s="19"/>
      <c r="B22" s="19"/>
      <c r="C22" s="20" t="s">
        <v>33</v>
      </c>
      <c r="D22" s="19"/>
      <c r="E22" s="19"/>
      <c r="F22" s="19"/>
      <c r="G22" s="19"/>
      <c r="H22" s="19"/>
      <c r="I22" s="19"/>
      <c r="J22" s="19"/>
      <c r="K22" s="19"/>
      <c r="L22" s="19"/>
      <c r="M22" s="19"/>
      <c r="N22" s="19"/>
      <c r="O22" s="19"/>
    </row>
    <row r="23" spans="1:21" ht="40.5" customHeight="1" thickTop="1" thickBot="1" x14ac:dyDescent="0.3">
      <c r="A23" s="19"/>
      <c r="B23" s="19"/>
      <c r="C23" s="27" t="s">
        <v>5</v>
      </c>
      <c r="D23" s="8" t="s">
        <v>50</v>
      </c>
      <c r="E23" s="120">
        <v>500</v>
      </c>
      <c r="F23" s="121"/>
      <c r="G23" s="121"/>
      <c r="H23" s="121"/>
      <c r="I23" s="121"/>
      <c r="J23" s="121"/>
      <c r="K23" s="121"/>
      <c r="L23" s="121"/>
      <c r="M23" s="122"/>
      <c r="N23" s="19"/>
      <c r="O23" s="19"/>
    </row>
    <row r="24" spans="1:21" ht="40.5" hidden="1" customHeight="1" thickTop="1" thickBot="1" x14ac:dyDescent="0.3">
      <c r="A24" s="19"/>
      <c r="B24" s="19"/>
      <c r="C24" s="14"/>
      <c r="D24" s="7"/>
      <c r="E24" s="123"/>
      <c r="F24" s="124"/>
      <c r="G24" s="124"/>
      <c r="H24" s="124"/>
      <c r="I24" s="124"/>
      <c r="J24" s="124"/>
      <c r="K24" s="124"/>
      <c r="L24" s="124"/>
      <c r="M24" s="125"/>
      <c r="N24" s="19"/>
      <c r="O24" s="19"/>
    </row>
    <row r="25" spans="1:21" ht="6.75" customHeight="1" thickTop="1" x14ac:dyDescent="0.25">
      <c r="A25" s="19"/>
      <c r="B25" s="19"/>
      <c r="C25" s="21"/>
      <c r="D25" s="19"/>
      <c r="E25" s="19"/>
      <c r="F25" s="19"/>
      <c r="G25" s="19"/>
      <c r="H25" s="19"/>
      <c r="I25" s="19"/>
      <c r="J25" s="19"/>
      <c r="K25" s="19"/>
      <c r="L25" s="19"/>
      <c r="M25" s="19"/>
      <c r="N25" s="19"/>
      <c r="O25" s="19"/>
    </row>
    <row r="26" spans="1:21" ht="12" customHeight="1" x14ac:dyDescent="0.25">
      <c r="C26" s="13"/>
    </row>
    <row r="27" spans="1:21" ht="15.75" thickBot="1" x14ac:dyDescent="0.3">
      <c r="A27" s="19"/>
      <c r="B27" s="19"/>
      <c r="C27" s="20" t="s">
        <v>197</v>
      </c>
      <c r="D27" s="19"/>
      <c r="E27" s="19"/>
      <c r="F27" s="19"/>
      <c r="G27" s="19"/>
      <c r="H27" s="19"/>
      <c r="I27" s="19"/>
      <c r="J27" s="19"/>
      <c r="K27" s="19"/>
      <c r="L27" s="19"/>
      <c r="M27" s="19"/>
      <c r="N27" s="19"/>
      <c r="O27" s="19"/>
      <c r="Q27" s="45" t="b">
        <v>0</v>
      </c>
      <c r="R27" s="37">
        <f>IF(Q27,IF(U27,1.6,1.35),IF(U27,1.1,1))</f>
        <v>1</v>
      </c>
      <c r="S27">
        <v>0</v>
      </c>
      <c r="T27">
        <v>0</v>
      </c>
      <c r="U27" t="b">
        <v>0</v>
      </c>
    </row>
    <row r="28" spans="1:21" ht="40.5" customHeight="1" thickTop="1" thickBot="1" x14ac:dyDescent="0.3">
      <c r="A28" s="19"/>
      <c r="B28" s="19"/>
      <c r="C28" s="14" t="s">
        <v>198</v>
      </c>
      <c r="D28" s="7" t="s">
        <v>199</v>
      </c>
      <c r="E28" s="5" t="s">
        <v>2</v>
      </c>
      <c r="F28" s="5" t="s">
        <v>2</v>
      </c>
      <c r="G28" s="5" t="s">
        <v>2</v>
      </c>
      <c r="H28" s="5" t="s">
        <v>2</v>
      </c>
      <c r="I28" s="5" t="s">
        <v>2</v>
      </c>
      <c r="J28" s="5" t="s">
        <v>2</v>
      </c>
      <c r="K28" s="5" t="s">
        <v>2</v>
      </c>
      <c r="L28" s="5" t="s">
        <v>2</v>
      </c>
      <c r="M28" s="5" t="s">
        <v>2</v>
      </c>
      <c r="N28" s="97"/>
      <c r="O28" s="19"/>
    </row>
    <row r="29" spans="1:21" ht="15.75" customHeight="1" thickTop="1" x14ac:dyDescent="0.25">
      <c r="A29" s="19"/>
      <c r="B29" s="19"/>
      <c r="C29" s="98"/>
      <c r="D29" s="99"/>
      <c r="E29" s="100"/>
      <c r="F29" s="100"/>
      <c r="G29" s="100"/>
      <c r="H29" s="100"/>
      <c r="I29" s="100"/>
      <c r="J29" s="100"/>
      <c r="K29" s="100"/>
      <c r="L29" s="100"/>
      <c r="M29" s="100"/>
      <c r="N29" s="97"/>
      <c r="O29" s="19"/>
    </row>
    <row r="30" spans="1:21" ht="9.75" customHeight="1" x14ac:dyDescent="0.25">
      <c r="B30" s="13"/>
    </row>
    <row r="31" spans="1:21" ht="15.75" thickBot="1" x14ac:dyDescent="0.3">
      <c r="A31" s="19"/>
      <c r="B31" s="19"/>
      <c r="C31" s="20" t="s">
        <v>136</v>
      </c>
      <c r="D31" s="19"/>
      <c r="E31" s="30" t="s">
        <v>43</v>
      </c>
      <c r="F31" s="30"/>
      <c r="G31" s="19"/>
      <c r="H31" s="19"/>
      <c r="I31" s="19"/>
      <c r="J31" s="19"/>
      <c r="K31" s="19"/>
      <c r="L31" s="19"/>
      <c r="M31" s="30" t="s">
        <v>86</v>
      </c>
      <c r="N31" s="19"/>
      <c r="O31" s="19"/>
    </row>
    <row r="32" spans="1:21" ht="35.25" thickTop="1" thickBot="1" x14ac:dyDescent="0.3">
      <c r="A32" s="19"/>
      <c r="B32" s="19"/>
      <c r="C32" s="14" t="str">
        <f>IF($U$27,IF($Q$27,"DLMC.S.N3.x.36M247","DLMC.S.N3.x.12M247"),IF($Q$27,"DLMC.S.N3.x.36M","DLMC.S.N3.x.z"))</f>
        <v>DLMC.S.N3.x.z</v>
      </c>
      <c r="D32" s="7" t="s">
        <v>102</v>
      </c>
      <c r="E32" s="5">
        <f>$R$27*20000</f>
        <v>20000</v>
      </c>
      <c r="F32" s="5">
        <f>$R$27*30000</f>
        <v>30000</v>
      </c>
      <c r="G32" s="5">
        <f>$R$27*70000</f>
        <v>70000</v>
      </c>
      <c r="H32" s="5">
        <f>$R$27*120000</f>
        <v>120000</v>
      </c>
      <c r="I32" s="5">
        <f>$R$27*200000</f>
        <v>200000</v>
      </c>
      <c r="J32" s="5">
        <f>$R$27*290000</f>
        <v>290000</v>
      </c>
      <c r="K32" s="5">
        <f>$R$27*380000</f>
        <v>380000</v>
      </c>
      <c r="L32" s="5">
        <f>$R$27*450000</f>
        <v>450000</v>
      </c>
      <c r="M32" s="5">
        <f>$R$27*900000</f>
        <v>900000</v>
      </c>
      <c r="N32" s="19"/>
      <c r="O32" s="19"/>
    </row>
    <row r="33" spans="1:15" ht="15.75" thickTop="1" x14ac:dyDescent="0.25">
      <c r="A33" s="19"/>
      <c r="B33" s="19"/>
      <c r="C33" s="21"/>
      <c r="D33" s="19"/>
      <c r="E33" s="19"/>
      <c r="F33" s="19"/>
      <c r="G33" s="19"/>
      <c r="H33" s="19"/>
      <c r="I33" s="19"/>
      <c r="J33" s="19"/>
      <c r="K33" s="19"/>
      <c r="L33" s="19"/>
      <c r="M33" s="19"/>
      <c r="N33" s="19"/>
      <c r="O33" s="19"/>
    </row>
    <row r="38" spans="1:15" x14ac:dyDescent="0.25">
      <c r="A38" s="17"/>
      <c r="B38" s="17"/>
      <c r="C38" s="18" t="s">
        <v>42</v>
      </c>
      <c r="D38" s="17"/>
      <c r="E38" s="17"/>
      <c r="F38" s="17"/>
      <c r="G38" s="17"/>
      <c r="H38" s="17"/>
      <c r="I38" s="17"/>
      <c r="J38" s="17"/>
      <c r="K38" s="17"/>
      <c r="L38" s="17"/>
      <c r="M38" s="17"/>
      <c r="N38" s="17"/>
      <c r="O38" s="17"/>
    </row>
  </sheetData>
  <mergeCells count="6">
    <mergeCell ref="C4:C5"/>
    <mergeCell ref="D4:D5"/>
    <mergeCell ref="E4:M4"/>
    <mergeCell ref="E24:M24"/>
    <mergeCell ref="E23:M23"/>
    <mergeCell ref="C17:D17"/>
  </mergeCells>
  <conditionalFormatting sqref="A8:O8 A9:A19 O9:O19 B19 N19 A20:O20">
    <cfRule type="expression" dxfId="20" priority="9">
      <formula>$R$8&lt;&gt;1</formula>
    </cfRule>
  </conditionalFormatting>
  <conditionalFormatting sqref="A31:O31 A32:B32 N32:O32 A33:O33">
    <cfRule type="expression" dxfId="19" priority="1">
      <formula>$R$27&gt;1</formula>
    </cfRule>
  </conditionalFormatting>
  <pageMargins left="0.62992125984251968" right="0.23622047244094491" top="0.35433070866141736" bottom="0.35433070866141736" header="0.31496062992125984" footer="0.31496062992125984"/>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85725</xdr:colOff>
                    <xdr:row>10</xdr:row>
                    <xdr:rowOff>47625</xdr:rowOff>
                  </from>
                  <to>
                    <xdr:col>2</xdr:col>
                    <xdr:colOff>276225</xdr:colOff>
                    <xdr:row>10</xdr:row>
                    <xdr:rowOff>428625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2</xdr:col>
                    <xdr:colOff>85725</xdr:colOff>
                    <xdr:row>11</xdr:row>
                    <xdr:rowOff>47625</xdr:rowOff>
                  </from>
                  <to>
                    <xdr:col>2</xdr:col>
                    <xdr:colOff>276225</xdr:colOff>
                    <xdr:row>11</xdr:row>
                    <xdr:rowOff>428625</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85725</xdr:colOff>
                    <xdr:row>13</xdr:row>
                    <xdr:rowOff>66675</xdr:rowOff>
                  </from>
                  <to>
                    <xdr:col>2</xdr:col>
                    <xdr:colOff>276225</xdr:colOff>
                    <xdr:row>13</xdr:row>
                    <xdr:rowOff>447675</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xdr:col>
                    <xdr:colOff>85725</xdr:colOff>
                    <xdr:row>14</xdr:row>
                    <xdr:rowOff>66675</xdr:rowOff>
                  </from>
                  <to>
                    <xdr:col>2</xdr:col>
                    <xdr:colOff>276225</xdr:colOff>
                    <xdr:row>14</xdr:row>
                    <xdr:rowOff>447675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3</xdr:col>
                    <xdr:colOff>3762375</xdr:colOff>
                    <xdr:row>6</xdr:row>
                    <xdr:rowOff>85725</xdr:rowOff>
                  </from>
                  <to>
                    <xdr:col>4</xdr:col>
                    <xdr:colOff>47625</xdr:colOff>
                    <xdr:row>8</xdr:row>
                    <xdr:rowOff>9525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xdr:col>
                    <xdr:colOff>85725</xdr:colOff>
                    <xdr:row>12</xdr:row>
                    <xdr:rowOff>66675</xdr:rowOff>
                  </from>
                  <to>
                    <xdr:col>2</xdr:col>
                    <xdr:colOff>276225</xdr:colOff>
                    <xdr:row>12</xdr:row>
                    <xdr:rowOff>447675</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11</xdr:col>
                    <xdr:colOff>533400</xdr:colOff>
                    <xdr:row>6</xdr:row>
                    <xdr:rowOff>85725</xdr:rowOff>
                  </from>
                  <to>
                    <xdr:col>12</xdr:col>
                    <xdr:colOff>76200</xdr:colOff>
                    <xdr:row>8</xdr:row>
                    <xdr:rowOff>9525</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3</xdr:col>
                    <xdr:colOff>3762375</xdr:colOff>
                    <xdr:row>29</xdr:row>
                    <xdr:rowOff>95250</xdr:rowOff>
                  </from>
                  <to>
                    <xdr:col>4</xdr:col>
                    <xdr:colOff>47625</xdr:colOff>
                    <xdr:row>31</xdr:row>
                    <xdr:rowOff>19050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11</xdr:col>
                    <xdr:colOff>533400</xdr:colOff>
                    <xdr:row>29</xdr:row>
                    <xdr:rowOff>95250</xdr:rowOff>
                  </from>
                  <to>
                    <xdr:col>12</xdr:col>
                    <xdr:colOff>76200</xdr:colOff>
                    <xdr:row>31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X37"/>
  <sheetViews>
    <sheetView showGridLines="0" showRowColHeaders="0" zoomScaleNormal="100" workbookViewId="0">
      <selection activeCell="Y31" sqref="Y31"/>
    </sheetView>
  </sheetViews>
  <sheetFormatPr defaultColWidth="9.140625" defaultRowHeight="15" x14ac:dyDescent="0.25"/>
  <cols>
    <col min="1" max="2" width="1.28515625" customWidth="1"/>
    <col min="3" max="3" width="27" customWidth="1"/>
    <col min="4" max="4" width="59.42578125" customWidth="1"/>
    <col min="5" max="13" width="10.5703125" customWidth="1"/>
    <col min="14" max="15" width="1.28515625" customWidth="1"/>
    <col min="16" max="16" width="11" customWidth="1"/>
    <col min="17" max="17" width="8.85546875" hidden="1" customWidth="1"/>
    <col min="18" max="18" width="10.85546875" hidden="1" customWidth="1"/>
    <col min="19" max="19" width="10.28515625" hidden="1" customWidth="1"/>
    <col min="20" max="20" width="12" hidden="1" customWidth="1"/>
    <col min="21" max="21" width="8.7109375" hidden="1" customWidth="1"/>
    <col min="22" max="22" width="12.85546875" hidden="1" customWidth="1"/>
    <col min="23" max="23" width="12.140625" hidden="1" customWidth="1"/>
    <col min="24" max="24" width="20.42578125" hidden="1" customWidth="1"/>
    <col min="25" max="25" width="9.140625" customWidth="1"/>
  </cols>
  <sheetData>
    <row r="2" spans="1:24" ht="85.5" customHeight="1" x14ac:dyDescent="0.25"/>
    <row r="3" spans="1:24" ht="29.25" thickBot="1" x14ac:dyDescent="0.5">
      <c r="C3" s="35" t="s">
        <v>47</v>
      </c>
      <c r="D3" s="35"/>
      <c r="E3" s="35"/>
      <c r="G3" s="36" t="s">
        <v>72</v>
      </c>
      <c r="I3" s="35"/>
      <c r="J3" s="35"/>
      <c r="K3" s="35"/>
      <c r="L3" s="35"/>
      <c r="M3" s="35"/>
    </row>
    <row r="4" spans="1:24" ht="26.25" customHeight="1" thickTop="1" thickBot="1" x14ac:dyDescent="0.3">
      <c r="C4" s="106" t="s">
        <v>3</v>
      </c>
      <c r="D4" s="108" t="s">
        <v>0</v>
      </c>
      <c r="E4" s="126" t="s">
        <v>87</v>
      </c>
      <c r="F4" s="126"/>
      <c r="G4" s="126"/>
      <c r="H4" s="126"/>
      <c r="I4" s="126"/>
      <c r="J4" s="126"/>
      <c r="K4" s="126"/>
      <c r="L4" s="126"/>
      <c r="M4" s="127"/>
    </row>
    <row r="5" spans="1:24" ht="21.75" customHeight="1" thickTop="1" thickBot="1" x14ac:dyDescent="0.3">
      <c r="C5" s="107"/>
      <c r="D5" s="109"/>
      <c r="E5" s="1" t="s">
        <v>1</v>
      </c>
      <c r="F5" s="1" t="s">
        <v>36</v>
      </c>
      <c r="G5" s="2" t="s">
        <v>37</v>
      </c>
      <c r="H5" s="1" t="s">
        <v>38</v>
      </c>
      <c r="I5" s="2" t="s">
        <v>39</v>
      </c>
      <c r="J5" s="1" t="s">
        <v>40</v>
      </c>
      <c r="K5" s="1" t="s">
        <v>41</v>
      </c>
      <c r="L5" s="1" t="s">
        <v>35</v>
      </c>
      <c r="M5" s="3" t="s">
        <v>34</v>
      </c>
    </row>
    <row r="6" spans="1:24" ht="9.75" customHeight="1" thickTop="1" x14ac:dyDescent="0.25">
      <c r="C6" s="13"/>
    </row>
    <row r="7" spans="1:24" ht="9.75" customHeight="1" x14ac:dyDescent="0.25">
      <c r="C7" s="13"/>
    </row>
    <row r="8" spans="1:24" x14ac:dyDescent="0.25">
      <c r="A8" s="19"/>
      <c r="B8" s="19"/>
      <c r="C8" s="20" t="s">
        <v>32</v>
      </c>
      <c r="D8" s="19"/>
      <c r="E8" s="30" t="s">
        <v>43</v>
      </c>
      <c r="F8" s="30"/>
      <c r="G8" s="19"/>
      <c r="H8" s="19"/>
      <c r="I8" s="19"/>
      <c r="J8" s="19"/>
      <c r="K8" s="19"/>
      <c r="L8" s="19"/>
      <c r="M8" s="30" t="s">
        <v>86</v>
      </c>
      <c r="N8" s="19"/>
      <c r="O8" s="19"/>
      <c r="Q8" s="45" t="b">
        <v>0</v>
      </c>
      <c r="R8" s="37">
        <f>IF(Q8,IF(U8,1.6,1.35),IF(U8,1.1,1))</f>
        <v>1</v>
      </c>
      <c r="S8">
        <v>0</v>
      </c>
      <c r="T8">
        <v>0</v>
      </c>
      <c r="U8" t="b">
        <v>0</v>
      </c>
    </row>
    <row r="9" spans="1:24" ht="9.75" customHeight="1" thickBot="1" x14ac:dyDescent="0.3">
      <c r="A9" s="19"/>
      <c r="B9" s="46"/>
      <c r="C9" s="47"/>
      <c r="D9" s="46"/>
      <c r="E9" s="48"/>
      <c r="F9" s="48"/>
      <c r="G9" s="46"/>
      <c r="H9" s="46"/>
      <c r="I9" s="46"/>
      <c r="J9" s="46"/>
      <c r="K9" s="46"/>
      <c r="L9" s="46"/>
      <c r="M9" s="48"/>
      <c r="N9" s="46"/>
      <c r="O9" s="19"/>
      <c r="Q9" s="45"/>
      <c r="R9" s="37"/>
    </row>
    <row r="10" spans="1:24" ht="40.5" customHeight="1" thickTop="1" thickBot="1" x14ac:dyDescent="0.3">
      <c r="A10" s="19"/>
      <c r="B10" s="46"/>
      <c r="C10" s="28" t="str">
        <f>IF($U$8,IF($Q$8,"DL80C.C.UADS.x.36M247","DL80C.C.UADS.x.12M247"),IF($Q$8,"DL80C.C.UADS.x.36M","DL80C.C.UADS.x.z"))</f>
        <v>DL80C.C.UADS.x.z</v>
      </c>
      <c r="D10" s="24" t="s">
        <v>48</v>
      </c>
      <c r="E10" s="25">
        <f>$R$8*12500</f>
        <v>12500</v>
      </c>
      <c r="F10" s="25">
        <f>$R$8*12100</f>
        <v>12100</v>
      </c>
      <c r="G10" s="25">
        <f>$R$8*11700</f>
        <v>11700</v>
      </c>
      <c r="H10" s="25">
        <f>$R$8*11300</f>
        <v>11300</v>
      </c>
      <c r="I10" s="25">
        <f>$R$8*10900</f>
        <v>10900</v>
      </c>
      <c r="J10" s="25">
        <f>$R$8*8900</f>
        <v>8900</v>
      </c>
      <c r="K10" s="25">
        <f>$R$8*7200</f>
        <v>7200</v>
      </c>
      <c r="L10" s="25">
        <f>$R$8*7000</f>
        <v>7000</v>
      </c>
      <c r="M10" s="25" t="s">
        <v>2</v>
      </c>
      <c r="N10" s="46"/>
      <c r="O10" s="19"/>
      <c r="Q10" s="45"/>
      <c r="S10">
        <v>1</v>
      </c>
      <c r="T10">
        <v>0.6</v>
      </c>
    </row>
    <row r="11" spans="1:24" ht="40.5" customHeight="1" thickTop="1" thickBot="1" x14ac:dyDescent="0.3">
      <c r="A11" s="19"/>
      <c r="B11" s="46"/>
      <c r="C11" s="29" t="str">
        <f>IF($U$8,IF($Q$8,"DL80C.C.FW.x.36M247","DL80C.C.FW.x.12M247"),IF($Q$8,"DL80C.C.FW.x.36M","DL80C.C.FW.x.z"))</f>
        <v>DL80C.C.FW.x.z</v>
      </c>
      <c r="D11" s="22" t="s">
        <v>95</v>
      </c>
      <c r="E11" s="23">
        <f>$R$8*2100</f>
        <v>2100</v>
      </c>
      <c r="F11" s="23">
        <f>$R$8*2000</f>
        <v>2000</v>
      </c>
      <c r="G11" s="23">
        <f>$R$8*1950</f>
        <v>1950</v>
      </c>
      <c r="H11" s="23">
        <f>$R$8*1800</f>
        <v>1800</v>
      </c>
      <c r="I11" s="23">
        <f>$R$8*1700</f>
        <v>1700</v>
      </c>
      <c r="J11" s="23">
        <f>$R$8*1500</f>
        <v>1500</v>
      </c>
      <c r="K11" s="23">
        <f>$R$8*1200</f>
        <v>1200</v>
      </c>
      <c r="L11" s="23" t="s">
        <v>2</v>
      </c>
      <c r="M11" s="23" t="s">
        <v>2</v>
      </c>
      <c r="N11" s="46"/>
      <c r="O11" s="19"/>
      <c r="Q11" s="45" t="b">
        <v>0</v>
      </c>
      <c r="R11">
        <f>IF(Q11,1,0)</f>
        <v>0</v>
      </c>
      <c r="S11">
        <v>2</v>
      </c>
      <c r="T11">
        <v>0.54</v>
      </c>
      <c r="U11" t="s">
        <v>76</v>
      </c>
      <c r="V11" t="str">
        <f>IF($Q11,U11,"")</f>
        <v/>
      </c>
      <c r="W11" t="s">
        <v>81</v>
      </c>
      <c r="X11" t="str">
        <f>IF($Q11,W11,"")</f>
        <v/>
      </c>
    </row>
    <row r="12" spans="1:24" ht="40.5" customHeight="1" thickTop="1" thickBot="1" x14ac:dyDescent="0.3">
      <c r="A12" s="19"/>
      <c r="B12" s="46"/>
      <c r="C12" s="16" t="str">
        <f>IF($U$8,IF($Q$8,"DL80C.C.IPS.x.36M247","DL80C.C.IPS.x.12M247"),IF($Q$8,"DL80C.C.IPS.x.36M","DL80C.C.IPS.x.z"))</f>
        <v>DL80C.C.IPS.x.z</v>
      </c>
      <c r="D12" s="7" t="s">
        <v>96</v>
      </c>
      <c r="E12" s="5">
        <f>$R$8*7130</f>
        <v>7130</v>
      </c>
      <c r="F12" s="5">
        <f>$R$8*6130</f>
        <v>6130</v>
      </c>
      <c r="G12" s="5">
        <f>$R$8*5750</f>
        <v>5750</v>
      </c>
      <c r="H12" s="5">
        <f>$R$8*5250</f>
        <v>5250</v>
      </c>
      <c r="I12" s="5">
        <f>$R$8*5130</f>
        <v>5130</v>
      </c>
      <c r="J12" s="5">
        <f>$R$8*4500</f>
        <v>4500</v>
      </c>
      <c r="K12" s="5">
        <f>$R$8*4000</f>
        <v>4000</v>
      </c>
      <c r="L12" s="5">
        <f>$R$8*3750</f>
        <v>3750</v>
      </c>
      <c r="M12" s="5" t="s">
        <v>2</v>
      </c>
      <c r="N12" s="46"/>
      <c r="O12" s="19"/>
      <c r="Q12" s="45" t="b">
        <v>0</v>
      </c>
      <c r="R12">
        <f t="shared" ref="R12:R15" si="0">IF(Q12,1,0)</f>
        <v>0</v>
      </c>
      <c r="S12">
        <v>3</v>
      </c>
      <c r="T12">
        <v>0.5</v>
      </c>
      <c r="U12" t="s">
        <v>77</v>
      </c>
      <c r="V12" t="str">
        <f t="shared" ref="V12:X15" si="1">IF($Q12,U12,"")</f>
        <v/>
      </c>
      <c r="W12" t="s">
        <v>82</v>
      </c>
      <c r="X12" t="str">
        <f t="shared" si="1"/>
        <v/>
      </c>
    </row>
    <row r="13" spans="1:24" ht="40.5" customHeight="1" thickTop="1" thickBot="1" x14ac:dyDescent="0.3">
      <c r="A13" s="19"/>
      <c r="B13" s="46"/>
      <c r="C13" s="16" t="str">
        <f>IF($U$8,IF($Q$8,"DL80C.C.MP.x.36M247","DL80C.C.MP.x.12M247"),IF($Q$8,"DL80C.C.MP.x.36M","DL80C.C.MP.x.z"))</f>
        <v>DL80C.C.MP.x.z</v>
      </c>
      <c r="D13" s="7" t="s">
        <v>97</v>
      </c>
      <c r="E13" s="5">
        <f>$R$8*4130</f>
        <v>4130</v>
      </c>
      <c r="F13" s="5">
        <f>$R$8*3750</f>
        <v>3750</v>
      </c>
      <c r="G13" s="5">
        <f>$R$8*3380</f>
        <v>3380</v>
      </c>
      <c r="H13" s="5">
        <f>$R$8*3000</f>
        <v>3000</v>
      </c>
      <c r="I13" s="5">
        <f>$R$8*2750</f>
        <v>2750</v>
      </c>
      <c r="J13" s="5">
        <f>$R$8*2630</f>
        <v>2630</v>
      </c>
      <c r="K13" s="5">
        <f>$R$8*2500</f>
        <v>2500</v>
      </c>
      <c r="L13" s="5">
        <f>$R$8*2380</f>
        <v>2380</v>
      </c>
      <c r="M13" s="5" t="s">
        <v>2</v>
      </c>
      <c r="N13" s="46"/>
      <c r="O13" s="19"/>
      <c r="Q13" s="45" t="b">
        <v>0</v>
      </c>
      <c r="R13">
        <f t="shared" si="0"/>
        <v>0</v>
      </c>
      <c r="S13">
        <v>4</v>
      </c>
      <c r="T13">
        <v>0.47</v>
      </c>
      <c r="U13" t="s">
        <v>78</v>
      </c>
      <c r="V13" t="str">
        <f t="shared" si="1"/>
        <v/>
      </c>
      <c r="W13" t="s">
        <v>83</v>
      </c>
      <c r="X13" t="str">
        <f t="shared" si="1"/>
        <v/>
      </c>
    </row>
    <row r="14" spans="1:24" ht="40.5" customHeight="1" thickTop="1" thickBot="1" x14ac:dyDescent="0.3">
      <c r="A14" s="19"/>
      <c r="B14" s="46"/>
      <c r="C14" s="15" t="str">
        <f>IF($U$8,IF($Q$8,"DL80C.C.BR.x.36M247","DL80C.C.BR.x.12M247"),IF($Q$8,"DL80C.C.BR.x.36M","DL80C.C.BR.x.z"))</f>
        <v>DL80C.C.BR.x.z</v>
      </c>
      <c r="D14" s="8" t="s">
        <v>98</v>
      </c>
      <c r="E14" s="6">
        <f>$R$8*2500</f>
        <v>2500</v>
      </c>
      <c r="F14" s="6">
        <f>$R$8*2380</f>
        <v>2380</v>
      </c>
      <c r="G14" s="6">
        <f>$R$8*2250</f>
        <v>2250</v>
      </c>
      <c r="H14" s="6">
        <f>$R$8*2190</f>
        <v>2190</v>
      </c>
      <c r="I14" s="6">
        <f>$R$8*2130</f>
        <v>2130</v>
      </c>
      <c r="J14" s="6">
        <f>$R$8*2000</f>
        <v>2000</v>
      </c>
      <c r="K14" s="6">
        <f>$R$8*1880</f>
        <v>1880</v>
      </c>
      <c r="L14" s="6">
        <f>$R$8*1810</f>
        <v>1810</v>
      </c>
      <c r="M14" s="6" t="s">
        <v>2</v>
      </c>
      <c r="N14" s="46"/>
      <c r="O14" s="19"/>
      <c r="Q14" s="45" t="b">
        <v>0</v>
      </c>
      <c r="R14">
        <f t="shared" si="0"/>
        <v>0</v>
      </c>
      <c r="S14">
        <v>5</v>
      </c>
      <c r="T14">
        <v>0.44999999999999996</v>
      </c>
      <c r="U14" t="s">
        <v>79</v>
      </c>
      <c r="V14" t="str">
        <f t="shared" si="1"/>
        <v/>
      </c>
      <c r="W14" t="s">
        <v>84</v>
      </c>
      <c r="X14" t="str">
        <f t="shared" si="1"/>
        <v/>
      </c>
    </row>
    <row r="15" spans="1:24" ht="40.5" customHeight="1" thickTop="1" thickBot="1" x14ac:dyDescent="0.3">
      <c r="A15" s="19"/>
      <c r="B15" s="46"/>
      <c r="C15" s="16" t="str">
        <f>IF($U$8,IF($Q$8,"DL80C.C.ITC.x.36M247","DL80C.C.ITC.x.12M247"),IF($Q$8,"DL80C.C.ITC.x.36M","DL80C.C.ITC.x.z"))</f>
        <v>DL80C.C.ITC.x.z</v>
      </c>
      <c r="D15" s="7" t="s">
        <v>99</v>
      </c>
      <c r="E15" s="5">
        <f>$R$8*3000</f>
        <v>3000</v>
      </c>
      <c r="F15" s="5">
        <f>$R$8*2880</f>
        <v>2880</v>
      </c>
      <c r="G15" s="5">
        <f>$R$8*2750</f>
        <v>2750</v>
      </c>
      <c r="H15" s="5">
        <f>$R$8*2630</f>
        <v>2630</v>
      </c>
      <c r="I15" s="5">
        <f>$R$8*2500</f>
        <v>2500</v>
      </c>
      <c r="J15" s="5">
        <f>$R$8*2380</f>
        <v>2380</v>
      </c>
      <c r="K15" s="5">
        <f>$R$8*2250</f>
        <v>2250</v>
      </c>
      <c r="L15" s="5">
        <f>$R$8*1440</f>
        <v>1440</v>
      </c>
      <c r="M15" s="5" t="s">
        <v>2</v>
      </c>
      <c r="N15" s="46"/>
      <c r="O15" s="19"/>
      <c r="Q15" s="45" t="b">
        <v>0</v>
      </c>
      <c r="R15">
        <f t="shared" si="0"/>
        <v>0</v>
      </c>
      <c r="S15">
        <v>6</v>
      </c>
      <c r="T15">
        <v>0.44999999999999996</v>
      </c>
      <c r="U15" t="s">
        <v>80</v>
      </c>
      <c r="V15" t="str">
        <f t="shared" si="1"/>
        <v/>
      </c>
      <c r="W15" t="s">
        <v>85</v>
      </c>
      <c r="X15" t="str">
        <f t="shared" si="1"/>
        <v/>
      </c>
    </row>
    <row r="16" spans="1:24" ht="31.5" customHeight="1" thickTop="1" thickBot="1" x14ac:dyDescent="0.3">
      <c r="A16" s="19"/>
      <c r="B16" s="46"/>
      <c r="C16" s="41" t="str">
        <f>IF($U$8,IF($Q$8,"DL80C.C.UADS"&amp;V16&amp;".x.36M247","DL80C.C.UADS"&amp;V16&amp;".x.12M247"),IF($Q$8,"DL80C.C.UADS"&amp;V16&amp;".x.36M","DL80C.C.UADS"&amp;V16&amp;".x.z"))</f>
        <v>DL80C.C.UADS.x.z</v>
      </c>
      <c r="D16" s="42" t="str">
        <f>"Dallas Lock 8.0-С (СЗИ НСД, СКН"&amp;X16&amp;").
Право на использование**. Бессрочная лицензия."</f>
        <v>Dallas Lock 8.0-С (СЗИ НСД, СКН).
Право на использование**. Бессрочная лицензия.</v>
      </c>
      <c r="E16" s="53">
        <f>E10+SUMPRODUCT(E11:E15,$R$11:$R$15)</f>
        <v>12500</v>
      </c>
      <c r="F16" s="53">
        <f t="shared" ref="F16:L16" si="2">F10+SUMPRODUCT(F11:F15,$R$11:$R$15)</f>
        <v>12100</v>
      </c>
      <c r="G16" s="53">
        <f t="shared" si="2"/>
        <v>11700</v>
      </c>
      <c r="H16" s="53">
        <f t="shared" si="2"/>
        <v>11300</v>
      </c>
      <c r="I16" s="53">
        <f t="shared" si="2"/>
        <v>10900</v>
      </c>
      <c r="J16" s="53">
        <f t="shared" si="2"/>
        <v>8900</v>
      </c>
      <c r="K16" s="53">
        <f t="shared" si="2"/>
        <v>7200</v>
      </c>
      <c r="L16" s="53">
        <f t="shared" si="2"/>
        <v>7000</v>
      </c>
      <c r="M16" s="43" t="s">
        <v>2</v>
      </c>
      <c r="N16" s="46"/>
      <c r="O16" s="19"/>
      <c r="V16" t="str">
        <f>IF(CONCATENATE(V11,V12,V13,V14,V15)&lt;&gt;"","-"&amp;LEFT(CONCATENATE(V11,V12,V13,V14,V15),LEN(CONCATENATE(V11,V12,V13,V14,V15))-1),"")</f>
        <v/>
      </c>
      <c r="X16" t="str">
        <f>IF(CONCATENATE(X11,X12,X13,X14,X15)&lt;&gt;"",", "&amp;LEFT(CONCATENATE(X11,X12,X13,X14,X15),LEN(CONCATENATE(X11,X12,X13,X14,X15))-2),"")</f>
        <v/>
      </c>
    </row>
    <row r="17" spans="1:21" ht="12" hidden="1" customHeight="1" thickTop="1" thickBot="1" x14ac:dyDescent="0.3">
      <c r="A17" s="19"/>
      <c r="B17" s="46"/>
      <c r="C17" s="130"/>
      <c r="D17" s="131"/>
      <c r="E17" s="44"/>
      <c r="F17" s="44"/>
      <c r="G17" s="44"/>
      <c r="H17" s="44"/>
      <c r="I17" s="44"/>
      <c r="J17" s="44"/>
      <c r="K17" s="44"/>
      <c r="L17" s="44"/>
      <c r="M17" s="43"/>
      <c r="N17" s="46"/>
      <c r="O17" s="19"/>
    </row>
    <row r="18" spans="1:21" ht="9.75" customHeight="1" thickTop="1" thickBot="1" x14ac:dyDescent="0.3">
      <c r="A18" s="19"/>
      <c r="B18" s="46"/>
      <c r="C18" s="47"/>
      <c r="D18" s="46"/>
      <c r="E18" s="48"/>
      <c r="F18" s="48"/>
      <c r="G18" s="46"/>
      <c r="H18" s="46"/>
      <c r="I18" s="46"/>
      <c r="J18" s="46"/>
      <c r="K18" s="46"/>
      <c r="L18" s="46"/>
      <c r="M18" s="48"/>
      <c r="N18" s="46"/>
      <c r="O18" s="19"/>
      <c r="Q18" s="45"/>
      <c r="R18" s="37"/>
    </row>
    <row r="19" spans="1:21" ht="40.5" customHeight="1" thickTop="1" thickBot="1" x14ac:dyDescent="0.3">
      <c r="A19" s="19"/>
      <c r="B19" s="19"/>
      <c r="C19" s="27" t="str">
        <f>IF($U$8,IF($Q$8,"DL80.T.х.36M247","DL80.T.х.12M247"),IF($Q$8,"DL80.T.х.36M","DL80.T.х.z"))</f>
        <v>DL80.T.х.z</v>
      </c>
      <c r="D19" s="8" t="s">
        <v>100</v>
      </c>
      <c r="E19" s="6">
        <f>$R$8*2800</f>
        <v>2800</v>
      </c>
      <c r="F19" s="6">
        <f>$R$8*2500</f>
        <v>2500</v>
      </c>
      <c r="G19" s="6">
        <f>$R$8*2200</f>
        <v>2200</v>
      </c>
      <c r="H19" s="6">
        <f>$R$8*1900</f>
        <v>1900</v>
      </c>
      <c r="I19" s="6">
        <f>$R$8*1700</f>
        <v>1700</v>
      </c>
      <c r="J19" s="6">
        <f>$R$8*1600</f>
        <v>1600</v>
      </c>
      <c r="K19" s="6">
        <f>$R$8*1500</f>
        <v>1500</v>
      </c>
      <c r="L19" s="6" t="s">
        <v>2</v>
      </c>
      <c r="M19" s="6" t="s">
        <v>2</v>
      </c>
      <c r="N19" s="19"/>
      <c r="O19" s="19"/>
    </row>
    <row r="20" spans="1:21" ht="6.75" customHeight="1" thickTop="1" x14ac:dyDescent="0.25">
      <c r="A20" s="19"/>
      <c r="B20" s="19"/>
      <c r="C20" s="21"/>
      <c r="D20" s="19"/>
      <c r="E20" s="19"/>
      <c r="F20" s="19"/>
      <c r="G20" s="19"/>
      <c r="H20" s="19"/>
      <c r="I20" s="19"/>
      <c r="J20" s="19"/>
      <c r="K20" s="19"/>
      <c r="L20" s="19"/>
      <c r="M20" s="19"/>
      <c r="N20" s="19"/>
      <c r="O20" s="19"/>
    </row>
    <row r="21" spans="1:21" ht="9.75" customHeight="1" x14ac:dyDescent="0.25">
      <c r="C21" s="13"/>
    </row>
    <row r="22" spans="1:21" ht="15.75" thickBot="1" x14ac:dyDescent="0.3">
      <c r="A22" s="19"/>
      <c r="B22" s="19"/>
      <c r="C22" s="20" t="s">
        <v>33</v>
      </c>
      <c r="D22" s="19"/>
      <c r="E22" s="19"/>
      <c r="F22" s="19"/>
      <c r="G22" s="19"/>
      <c r="H22" s="19"/>
      <c r="I22" s="19"/>
      <c r="J22" s="19"/>
      <c r="K22" s="19"/>
      <c r="L22" s="19"/>
      <c r="M22" s="19"/>
      <c r="N22" s="19"/>
      <c r="O22" s="19"/>
    </row>
    <row r="23" spans="1:21" ht="40.5" customHeight="1" thickTop="1" thickBot="1" x14ac:dyDescent="0.3">
      <c r="A23" s="19"/>
      <c r="B23" s="19"/>
      <c r="C23" s="27" t="s">
        <v>6</v>
      </c>
      <c r="D23" s="8" t="s">
        <v>49</v>
      </c>
      <c r="E23" s="120">
        <v>500</v>
      </c>
      <c r="F23" s="121"/>
      <c r="G23" s="121"/>
      <c r="H23" s="121"/>
      <c r="I23" s="121"/>
      <c r="J23" s="121"/>
      <c r="K23" s="121"/>
      <c r="L23" s="121"/>
      <c r="M23" s="122"/>
      <c r="N23" s="19"/>
      <c r="O23" s="19"/>
    </row>
    <row r="24" spans="1:21" ht="6.75" customHeight="1" thickTop="1" x14ac:dyDescent="0.25">
      <c r="A24" s="19"/>
      <c r="B24" s="19"/>
      <c r="C24" s="21"/>
      <c r="D24" s="19"/>
      <c r="E24" s="19"/>
      <c r="F24" s="19"/>
      <c r="G24" s="19"/>
      <c r="H24" s="19"/>
      <c r="I24" s="19"/>
      <c r="J24" s="19"/>
      <c r="K24" s="19"/>
      <c r="L24" s="19"/>
      <c r="M24" s="19"/>
      <c r="N24" s="19"/>
      <c r="O24" s="19"/>
    </row>
    <row r="25" spans="1:21" ht="12" customHeight="1" x14ac:dyDescent="0.25">
      <c r="C25" s="13"/>
    </row>
    <row r="26" spans="1:21" ht="15.75" thickBot="1" x14ac:dyDescent="0.3">
      <c r="A26" s="19"/>
      <c r="B26" s="19"/>
      <c r="C26" s="20" t="s">
        <v>197</v>
      </c>
      <c r="D26" s="19"/>
      <c r="E26" s="19"/>
      <c r="F26" s="19"/>
      <c r="G26" s="19"/>
      <c r="H26" s="19"/>
      <c r="I26" s="19"/>
      <c r="J26" s="19"/>
      <c r="K26" s="19"/>
      <c r="L26" s="19"/>
      <c r="M26" s="19"/>
      <c r="N26" s="19"/>
      <c r="O26" s="19"/>
      <c r="Q26" s="45" t="b">
        <v>0</v>
      </c>
      <c r="R26" s="37">
        <f>IF(Q26,IF(U26,1.6,1.35),IF(U26,1.1,1))</f>
        <v>1</v>
      </c>
      <c r="S26">
        <v>0</v>
      </c>
      <c r="T26">
        <v>0</v>
      </c>
      <c r="U26" t="b">
        <v>0</v>
      </c>
    </row>
    <row r="27" spans="1:21" ht="40.5" customHeight="1" thickTop="1" thickBot="1" x14ac:dyDescent="0.3">
      <c r="A27" s="19"/>
      <c r="B27" s="19"/>
      <c r="C27" s="14" t="s">
        <v>198</v>
      </c>
      <c r="D27" s="7" t="s">
        <v>199</v>
      </c>
      <c r="E27" s="5" t="s">
        <v>2</v>
      </c>
      <c r="F27" s="5" t="s">
        <v>2</v>
      </c>
      <c r="G27" s="5" t="s">
        <v>2</v>
      </c>
      <c r="H27" s="5" t="s">
        <v>2</v>
      </c>
      <c r="I27" s="5" t="s">
        <v>2</v>
      </c>
      <c r="J27" s="5" t="s">
        <v>2</v>
      </c>
      <c r="K27" s="5" t="s">
        <v>2</v>
      </c>
      <c r="L27" s="5" t="s">
        <v>2</v>
      </c>
      <c r="M27" s="5" t="s">
        <v>2</v>
      </c>
      <c r="N27" s="97"/>
      <c r="O27" s="19"/>
    </row>
    <row r="28" spans="1:21" ht="15.75" customHeight="1" thickTop="1" x14ac:dyDescent="0.25">
      <c r="A28" s="19"/>
      <c r="B28" s="19"/>
      <c r="C28" s="98"/>
      <c r="D28" s="99"/>
      <c r="E28" s="100"/>
      <c r="F28" s="100"/>
      <c r="G28" s="100"/>
      <c r="H28" s="100"/>
      <c r="I28" s="100"/>
      <c r="J28" s="100"/>
      <c r="K28" s="100"/>
      <c r="L28" s="100"/>
      <c r="M28" s="100"/>
      <c r="N28" s="97"/>
      <c r="O28" s="19"/>
    </row>
    <row r="30" spans="1:21" ht="15.75" thickBot="1" x14ac:dyDescent="0.3">
      <c r="A30" s="19"/>
      <c r="B30" s="19"/>
      <c r="C30" s="20" t="s">
        <v>136</v>
      </c>
      <c r="D30" s="19"/>
      <c r="E30" s="30" t="s">
        <v>43</v>
      </c>
      <c r="F30" s="30"/>
      <c r="G30" s="19"/>
      <c r="H30" s="19"/>
      <c r="I30" s="19"/>
      <c r="J30" s="19"/>
      <c r="K30" s="19"/>
      <c r="L30" s="19"/>
      <c r="M30" s="30" t="s">
        <v>86</v>
      </c>
      <c r="N30" s="19"/>
      <c r="O30" s="19"/>
    </row>
    <row r="31" spans="1:21" ht="35.25" thickTop="1" thickBot="1" x14ac:dyDescent="0.3">
      <c r="A31" s="19"/>
      <c r="B31" s="19"/>
      <c r="C31" s="14" t="str">
        <f>IF($U$26,IF($Q$26,"DLMC.S.N3.x.36M247","DLMC.S.N3.x.12M247"),IF($Q$26,"DLMC.S.N3.x.36M","DLMC.S.N3.x.z"))</f>
        <v>DLMC.S.N3.x.z</v>
      </c>
      <c r="D31" s="7" t="s">
        <v>102</v>
      </c>
      <c r="E31" s="5">
        <f>$R$26*20000</f>
        <v>20000</v>
      </c>
      <c r="F31" s="5">
        <f>$R$26*30000</f>
        <v>30000</v>
      </c>
      <c r="G31" s="5">
        <f>$R$26*70000</f>
        <v>70000</v>
      </c>
      <c r="H31" s="5">
        <f>$R$26*120000</f>
        <v>120000</v>
      </c>
      <c r="I31" s="5">
        <f>$R$26*200000</f>
        <v>200000</v>
      </c>
      <c r="J31" s="5">
        <f>$R$26*290000</f>
        <v>290000</v>
      </c>
      <c r="K31" s="5">
        <f>$R$26*380000</f>
        <v>380000</v>
      </c>
      <c r="L31" s="5">
        <f>$R$26*450000</f>
        <v>450000</v>
      </c>
      <c r="M31" s="5">
        <f>$R$26*900000</f>
        <v>900000</v>
      </c>
      <c r="N31" s="19"/>
      <c r="O31" s="19"/>
    </row>
    <row r="32" spans="1:21" ht="15.75" thickTop="1" x14ac:dyDescent="0.25">
      <c r="A32" s="19"/>
      <c r="B32" s="19"/>
      <c r="C32" s="21"/>
      <c r="D32" s="19"/>
      <c r="E32" s="19"/>
      <c r="F32" s="19"/>
      <c r="G32" s="19"/>
      <c r="H32" s="19"/>
      <c r="I32" s="19"/>
      <c r="J32" s="19"/>
      <c r="K32" s="19"/>
      <c r="L32" s="19"/>
      <c r="M32" s="19"/>
      <c r="N32" s="19"/>
      <c r="O32" s="19"/>
    </row>
    <row r="37" spans="1:15" x14ac:dyDescent="0.25">
      <c r="A37" s="17"/>
      <c r="B37" s="17"/>
      <c r="C37" s="18" t="s">
        <v>42</v>
      </c>
      <c r="D37" s="17"/>
      <c r="E37" s="17"/>
      <c r="F37" s="17"/>
      <c r="G37" s="17"/>
      <c r="H37" s="17"/>
      <c r="I37" s="17"/>
      <c r="J37" s="17"/>
      <c r="K37" s="17"/>
      <c r="L37" s="17"/>
      <c r="M37" s="17"/>
      <c r="N37" s="17"/>
      <c r="O37" s="17"/>
    </row>
  </sheetData>
  <mergeCells count="5">
    <mergeCell ref="E23:M23"/>
    <mergeCell ref="C4:C5"/>
    <mergeCell ref="D4:D5"/>
    <mergeCell ref="E4:M4"/>
    <mergeCell ref="C17:D17"/>
  </mergeCells>
  <conditionalFormatting sqref="A8:A20 O8:O20 N19:N20">
    <cfRule type="expression" dxfId="18" priority="5">
      <formula>$R$8&lt;&gt;1</formula>
    </cfRule>
  </conditionalFormatting>
  <conditionalFormatting sqref="A30:O30 N31:O31 A31:B32 C32:O32">
    <cfRule type="expression" dxfId="17" priority="1">
      <formula>$R$26&gt;1</formula>
    </cfRule>
  </conditionalFormatting>
  <conditionalFormatting sqref="B19:B20">
    <cfRule type="expression" dxfId="16" priority="4">
      <formula>$R$8&lt;&gt;1</formula>
    </cfRule>
  </conditionalFormatting>
  <conditionalFormatting sqref="B8:N8">
    <cfRule type="expression" dxfId="15" priority="3">
      <formula>$R$8&lt;&gt;1</formula>
    </cfRule>
  </conditionalFormatting>
  <conditionalFormatting sqref="C20:M20">
    <cfRule type="expression" dxfId="14" priority="7">
      <formula>$R$8&lt;&gt;1</formula>
    </cfRule>
  </conditionalFormatting>
  <pageMargins left="0.62992125984251968" right="0.23622047244094491" top="0.35433070866141736" bottom="0.35433070866141736" header="0.31496062992125984" footer="0.31496062992125984"/>
  <pageSetup paperSize="9" scale="47" orientation="portrait" r:id="rId1"/>
  <ignoredErrors>
    <ignoredError sqref="R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85725</xdr:colOff>
                    <xdr:row>10</xdr:row>
                    <xdr:rowOff>47625</xdr:rowOff>
                  </from>
                  <to>
                    <xdr:col>2</xdr:col>
                    <xdr:colOff>276225</xdr:colOff>
                    <xdr:row>10</xdr:row>
                    <xdr:rowOff>428625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85725</xdr:colOff>
                    <xdr:row>11</xdr:row>
                    <xdr:rowOff>47625</xdr:rowOff>
                  </from>
                  <to>
                    <xdr:col>2</xdr:col>
                    <xdr:colOff>276225</xdr:colOff>
                    <xdr:row>11</xdr:row>
                    <xdr:rowOff>428625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85725</xdr:colOff>
                    <xdr:row>13</xdr:row>
                    <xdr:rowOff>66675</xdr:rowOff>
                  </from>
                  <to>
                    <xdr:col>2</xdr:col>
                    <xdr:colOff>276225</xdr:colOff>
                    <xdr:row>13</xdr:row>
                    <xdr:rowOff>447675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85725</xdr:colOff>
                    <xdr:row>14</xdr:row>
                    <xdr:rowOff>66675</xdr:rowOff>
                  </from>
                  <to>
                    <xdr:col>2</xdr:col>
                    <xdr:colOff>276225</xdr:colOff>
                    <xdr:row>14</xdr:row>
                    <xdr:rowOff>447675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xdr:col>
                    <xdr:colOff>3762375</xdr:colOff>
                    <xdr:row>6</xdr:row>
                    <xdr:rowOff>95250</xdr:rowOff>
                  </from>
                  <to>
                    <xdr:col>4</xdr:col>
                    <xdr:colOff>57150</xdr:colOff>
                    <xdr:row>8</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85725</xdr:colOff>
                    <xdr:row>12</xdr:row>
                    <xdr:rowOff>66675</xdr:rowOff>
                  </from>
                  <to>
                    <xdr:col>2</xdr:col>
                    <xdr:colOff>276225</xdr:colOff>
                    <xdr:row>12</xdr:row>
                    <xdr:rowOff>447675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11</xdr:col>
                    <xdr:colOff>533400</xdr:colOff>
                    <xdr:row>6</xdr:row>
                    <xdr:rowOff>95250</xdr:rowOff>
                  </from>
                  <to>
                    <xdr:col>12</xdr:col>
                    <xdr:colOff>76200</xdr:colOff>
                    <xdr:row>8</xdr:row>
                    <xdr:rowOff>19050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3714750</xdr:colOff>
                    <xdr:row>28</xdr:row>
                    <xdr:rowOff>161925</xdr:rowOff>
                  </from>
                  <to>
                    <xdr:col>4</xdr:col>
                    <xdr:colOff>9525</xdr:colOff>
                    <xdr:row>30</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11</xdr:col>
                    <xdr:colOff>485775</xdr:colOff>
                    <xdr:row>28</xdr:row>
                    <xdr:rowOff>161925</xdr:rowOff>
                  </from>
                  <to>
                    <xdr:col>12</xdr:col>
                    <xdr:colOff>28575</xdr:colOff>
                    <xdr:row>30</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Q51"/>
  <sheetViews>
    <sheetView showGridLines="0" showRowColHeaders="0" zoomScaleNormal="100" workbookViewId="0">
      <selection activeCell="C25" sqref="C25"/>
    </sheetView>
  </sheetViews>
  <sheetFormatPr defaultColWidth="9.140625" defaultRowHeight="15" x14ac:dyDescent="0.25"/>
  <cols>
    <col min="1" max="1" width="1.28515625" customWidth="1"/>
    <col min="2" max="2" width="25.85546875" customWidth="1"/>
    <col min="3" max="3" width="59.42578125" customWidth="1"/>
    <col min="4" max="12" width="10.5703125" customWidth="1"/>
    <col min="13" max="13" width="1.140625" customWidth="1"/>
    <col min="15" max="15" width="11.28515625" hidden="1" customWidth="1"/>
    <col min="16" max="16" width="12.140625" hidden="1" customWidth="1"/>
    <col min="17" max="17" width="11.28515625" hidden="1" customWidth="1"/>
    <col min="18" max="18" width="11.28515625" customWidth="1"/>
  </cols>
  <sheetData>
    <row r="2" spans="1:17" ht="85.5" customHeight="1" x14ac:dyDescent="0.25"/>
    <row r="3" spans="1:17" ht="29.25" thickBot="1" x14ac:dyDescent="0.5">
      <c r="B3" s="35" t="s">
        <v>88</v>
      </c>
      <c r="C3" s="35"/>
      <c r="D3" s="35"/>
      <c r="E3" s="36"/>
      <c r="F3" s="81" t="s">
        <v>72</v>
      </c>
      <c r="G3" s="35"/>
      <c r="H3" s="35"/>
      <c r="I3" s="35"/>
      <c r="J3" s="35"/>
      <c r="K3" s="35"/>
      <c r="L3" s="35"/>
    </row>
    <row r="4" spans="1:17" ht="26.25" customHeight="1" thickTop="1" thickBot="1" x14ac:dyDescent="0.3">
      <c r="B4" s="106" t="s">
        <v>3</v>
      </c>
      <c r="C4" s="108" t="s">
        <v>0</v>
      </c>
      <c r="D4" s="132" t="s">
        <v>89</v>
      </c>
      <c r="E4" s="110"/>
      <c r="F4" s="110"/>
      <c r="G4" s="110"/>
      <c r="H4" s="110"/>
      <c r="I4" s="110"/>
      <c r="J4" s="110"/>
      <c r="K4" s="110"/>
      <c r="L4" s="111"/>
    </row>
    <row r="5" spans="1:17" ht="21.75" customHeight="1" thickTop="1" thickBot="1" x14ac:dyDescent="0.3">
      <c r="B5" s="107"/>
      <c r="C5" s="109"/>
      <c r="D5" s="1" t="s">
        <v>1</v>
      </c>
      <c r="E5" s="1" t="s">
        <v>36</v>
      </c>
      <c r="F5" s="2" t="s">
        <v>37</v>
      </c>
      <c r="G5" s="1" t="s">
        <v>38</v>
      </c>
      <c r="H5" s="2" t="s">
        <v>39</v>
      </c>
      <c r="I5" s="1" t="s">
        <v>40</v>
      </c>
      <c r="J5" s="1" t="s">
        <v>41</v>
      </c>
      <c r="K5" s="1" t="s">
        <v>35</v>
      </c>
      <c r="L5" s="3" t="s">
        <v>34</v>
      </c>
    </row>
    <row r="6" spans="1:17" ht="9.75" customHeight="1" thickTop="1" x14ac:dyDescent="0.25">
      <c r="B6" s="13"/>
    </row>
    <row r="7" spans="1:17" ht="15.75" thickBot="1" x14ac:dyDescent="0.3">
      <c r="A7" s="19"/>
      <c r="B7" s="20" t="s">
        <v>32</v>
      </c>
      <c r="C7" s="19"/>
      <c r="D7" s="30" t="s">
        <v>43</v>
      </c>
      <c r="E7" s="30"/>
      <c r="F7" s="19"/>
      <c r="G7" s="19"/>
      <c r="H7" s="19"/>
      <c r="I7" s="19"/>
      <c r="J7" s="19"/>
      <c r="K7" s="19"/>
      <c r="L7" s="30" t="s">
        <v>86</v>
      </c>
      <c r="M7" s="19"/>
      <c r="O7" t="b">
        <v>0</v>
      </c>
      <c r="P7" s="37">
        <f>IF(O7,IF(Q7,1.6,1.35),IF(Q7,1.1,1))</f>
        <v>1</v>
      </c>
      <c r="Q7" t="b">
        <v>0</v>
      </c>
    </row>
    <row r="8" spans="1:17" ht="41.25" customHeight="1" thickTop="1" thickBot="1" x14ac:dyDescent="0.3">
      <c r="A8" s="19"/>
      <c r="B8" s="14" t="str">
        <f>IF($Q$7,IF($O$7,"DLMC.S.N3.x.36M247","DLMC.S.N3.x.12M247"),IF($O$7,"DLMC.S.N3.x.36M","DLMC.S.N3.x.z"))</f>
        <v>DLMC.S.N3.x.z</v>
      </c>
      <c r="C8" s="7" t="s">
        <v>102</v>
      </c>
      <c r="D8" s="5">
        <f>$P$7*20000</f>
        <v>20000</v>
      </c>
      <c r="E8" s="5">
        <f>$P$7*30000</f>
        <v>30000</v>
      </c>
      <c r="F8" s="5">
        <f>$P$7*70000</f>
        <v>70000</v>
      </c>
      <c r="G8" s="5">
        <f>$P$7*120000</f>
        <v>120000</v>
      </c>
      <c r="H8" s="5">
        <f>$P$7*200000</f>
        <v>200000</v>
      </c>
      <c r="I8" s="5">
        <f>$P$7*290000</f>
        <v>290000</v>
      </c>
      <c r="J8" s="5">
        <f>$P$7*380000</f>
        <v>380000</v>
      </c>
      <c r="K8" s="5">
        <f>$P$7*450000</f>
        <v>450000</v>
      </c>
      <c r="L8" s="5">
        <f>$P$7*900000</f>
        <v>900000</v>
      </c>
      <c r="M8" s="19"/>
    </row>
    <row r="9" spans="1:17" ht="41.25" customHeight="1" thickTop="1" thickBot="1" x14ac:dyDescent="0.3">
      <c r="A9" s="19"/>
      <c r="B9" s="27" t="str">
        <f>IF($Q$7,IF($O$7,"DLMC.S.N10.x.36M247","DLMC.S.N10.x.12M247"),IF($O$7,"DLMC.S.N10.x.36M","DLMC.S.N10.x.z"))</f>
        <v>DLMC.S.N10.x.z</v>
      </c>
      <c r="C9" s="8" t="s">
        <v>103</v>
      </c>
      <c r="D9" s="6">
        <f>$P$7*80000</f>
        <v>80000</v>
      </c>
      <c r="E9" s="6">
        <f>$P$7*90000</f>
        <v>90000</v>
      </c>
      <c r="F9" s="6">
        <f>$P$7*130000</f>
        <v>130000</v>
      </c>
      <c r="G9" s="6">
        <f>$P$7*180000</f>
        <v>180000</v>
      </c>
      <c r="H9" s="6">
        <f>$P$7*260000</f>
        <v>260000</v>
      </c>
      <c r="I9" s="6">
        <f>$P$7*350000</f>
        <v>350000</v>
      </c>
      <c r="J9" s="6">
        <f>$P$7*440000</f>
        <v>440000</v>
      </c>
      <c r="K9" s="6">
        <f>$P$7*510000</f>
        <v>510000</v>
      </c>
      <c r="L9" s="6">
        <f>$P$7*960000</f>
        <v>960000</v>
      </c>
      <c r="M9" s="19"/>
    </row>
    <row r="10" spans="1:17" ht="41.25" customHeight="1" thickTop="1" thickBot="1" x14ac:dyDescent="0.3">
      <c r="A10" s="19"/>
      <c r="B10" s="14" t="str">
        <f>IF($Q$7,IF($O$7,"DLMC.S.N25.x.36M247","DLMC.S.N25.x.12M247"),IF($O$7,"DLMC.S.N25.x.36M","DLMC.S.N25.x.z"))</f>
        <v>DLMC.S.N25.x.z</v>
      </c>
      <c r="C10" s="7" t="s">
        <v>104</v>
      </c>
      <c r="D10" s="5">
        <f>$P$7*160000</f>
        <v>160000</v>
      </c>
      <c r="E10" s="5">
        <f>$P$7*170000</f>
        <v>170000</v>
      </c>
      <c r="F10" s="5">
        <f>$P$7*210000</f>
        <v>210000</v>
      </c>
      <c r="G10" s="5">
        <f>$P$7*260000</f>
        <v>260000</v>
      </c>
      <c r="H10" s="5">
        <f>$P$7*340000</f>
        <v>340000</v>
      </c>
      <c r="I10" s="5">
        <f>$P$7*430000</f>
        <v>430000</v>
      </c>
      <c r="J10" s="5">
        <f>$P$7*520000</f>
        <v>520000</v>
      </c>
      <c r="K10" s="5">
        <f>$P$7*590000</f>
        <v>590000</v>
      </c>
      <c r="L10" s="5">
        <f>$P$7*1040000</f>
        <v>1040000</v>
      </c>
      <c r="M10" s="19"/>
    </row>
    <row r="11" spans="1:17" ht="41.25" customHeight="1" thickTop="1" thickBot="1" x14ac:dyDescent="0.3">
      <c r="A11" s="19"/>
      <c r="B11" s="27" t="str">
        <f>IF($Q$7,IF($O$7,"DLMC.S.N50.x.36M247","DLMC.S.N50.x.12M247"),IF($O$7,"DLMC.S.N50.x.36M","DLMC.S.N50.x.z"))</f>
        <v>DLMC.S.N50.x.z</v>
      </c>
      <c r="C11" s="8" t="s">
        <v>105</v>
      </c>
      <c r="D11" s="6">
        <f>$P$7*270000</f>
        <v>270000</v>
      </c>
      <c r="E11" s="6">
        <f>$P$7*280000</f>
        <v>280000</v>
      </c>
      <c r="F11" s="6">
        <f>$P$7*320000</f>
        <v>320000</v>
      </c>
      <c r="G11" s="6">
        <f>$P$7*370000</f>
        <v>370000</v>
      </c>
      <c r="H11" s="6">
        <f>$P$7*450000</f>
        <v>450000</v>
      </c>
      <c r="I11" s="6">
        <f>$P$7*540000</f>
        <v>540000</v>
      </c>
      <c r="J11" s="6">
        <f>$P$7*630000</f>
        <v>630000</v>
      </c>
      <c r="K11" s="6">
        <f>$P$7*700000</f>
        <v>700000</v>
      </c>
      <c r="L11" s="6">
        <f>$P$7*1150000</f>
        <v>1150000</v>
      </c>
      <c r="M11" s="19"/>
    </row>
    <row r="12" spans="1:17" ht="41.25" customHeight="1" thickTop="1" thickBot="1" x14ac:dyDescent="0.3">
      <c r="A12" s="19"/>
      <c r="B12" s="14" t="str">
        <f>IF($Q$7,IF($O$7,"DLMC.S.N100.x.36M247","DLMC.S.N100.x.12M247"),IF($O$7,"DLMC.S.N100.x.36M","DLMC.S.N100.x.z"))</f>
        <v>DLMC.S.N100.x.z</v>
      </c>
      <c r="C12" s="7" t="s">
        <v>106</v>
      </c>
      <c r="D12" s="5">
        <f>$P$7*470000</f>
        <v>470000</v>
      </c>
      <c r="E12" s="5">
        <f>$P$7*480000</f>
        <v>480000</v>
      </c>
      <c r="F12" s="5">
        <f>$P$7*520000</f>
        <v>520000</v>
      </c>
      <c r="G12" s="5">
        <f>$P$7*570000</f>
        <v>570000</v>
      </c>
      <c r="H12" s="5">
        <f>$P$7*650000</f>
        <v>650000</v>
      </c>
      <c r="I12" s="5">
        <f>$P$7*740000</f>
        <v>740000</v>
      </c>
      <c r="J12" s="5">
        <f>$P$7*830000</f>
        <v>830000</v>
      </c>
      <c r="K12" s="5">
        <f>$P$7*900000</f>
        <v>900000</v>
      </c>
      <c r="L12" s="5">
        <f>$P$7*1350000</f>
        <v>1350000</v>
      </c>
      <c r="M12" s="19"/>
    </row>
    <row r="13" spans="1:17" ht="41.25" customHeight="1" thickTop="1" thickBot="1" x14ac:dyDescent="0.3">
      <c r="A13" s="19"/>
      <c r="B13" s="27" t="str">
        <f>IF($Q$7,IF($O$7,"DLMC.S.N500.x.36M247","DLMC.S.N500.x.12M247"),IF($O$7,"DLMC.S.N500.x.36M","DLMC.S.N500.x.z"))</f>
        <v>DLMC.S.N500.x.z</v>
      </c>
      <c r="C13" s="8" t="s">
        <v>107</v>
      </c>
      <c r="D13" s="6">
        <f>$P$7*2170000</f>
        <v>2170000</v>
      </c>
      <c r="E13" s="6">
        <f>$P$7*2180000</f>
        <v>2180000</v>
      </c>
      <c r="F13" s="6">
        <f>$P$7*2220000</f>
        <v>2220000</v>
      </c>
      <c r="G13" s="6">
        <f>$P$7*2270000</f>
        <v>2270000</v>
      </c>
      <c r="H13" s="6">
        <f>$P$7*2350000</f>
        <v>2350000</v>
      </c>
      <c r="I13" s="6">
        <f>$P$7*2440000</f>
        <v>2440000</v>
      </c>
      <c r="J13" s="6">
        <f>$P$7*2530000</f>
        <v>2530000</v>
      </c>
      <c r="K13" s="6">
        <f>$P$7*2600000</f>
        <v>2600000</v>
      </c>
      <c r="L13" s="6">
        <f>$P$7*3050000</f>
        <v>3050000</v>
      </c>
      <c r="M13" s="19"/>
    </row>
    <row r="14" spans="1:17" ht="41.25" customHeight="1" thickTop="1" thickBot="1" x14ac:dyDescent="0.3">
      <c r="A14" s="19"/>
      <c r="B14" s="14" t="str">
        <f>IF($Q$7,IF($O$7,"DLMC.S.N1000.x.36M247","DLMC.S.N1000.x.12M247"),IF($O$7,"DLMC.S.N1000.x.36M","DLMC.S.N1000.x.z"))</f>
        <v>DLMC.S.N1000.x.z</v>
      </c>
      <c r="C14" s="7" t="s">
        <v>108</v>
      </c>
      <c r="D14" s="5">
        <f>$P$7*4120000</f>
        <v>4120000</v>
      </c>
      <c r="E14" s="5">
        <f>$P$7*4130000</f>
        <v>4130000</v>
      </c>
      <c r="F14" s="5">
        <f>$P$7*4170000</f>
        <v>4170000</v>
      </c>
      <c r="G14" s="5">
        <f>$P$7*4220000</f>
        <v>4220000</v>
      </c>
      <c r="H14" s="5">
        <f>$P$7*4300000</f>
        <v>4300000</v>
      </c>
      <c r="I14" s="5">
        <f>$P$7*4390000</f>
        <v>4390000</v>
      </c>
      <c r="J14" s="5">
        <f>$P$7*4480000</f>
        <v>4480000</v>
      </c>
      <c r="K14" s="5">
        <f>$P$7*4550000</f>
        <v>4550000</v>
      </c>
      <c r="L14" s="5">
        <f>$P$7*5000000</f>
        <v>5000000</v>
      </c>
      <c r="M14" s="19"/>
    </row>
    <row r="15" spans="1:17" ht="41.25" customHeight="1" thickTop="1" thickBot="1" x14ac:dyDescent="0.3">
      <c r="A15" s="19"/>
      <c r="B15" s="27" t="str">
        <f>IF($Q$7,IF($O$7,"DLMC.S.UNLIM.x.36M247","DLMC.S.UNLIM.x.12M247"),IF($O$7,"DLMC.S.UNLIM.x.36M","DLMC.S.UNLIM.x.z"))</f>
        <v>DLMC.S.UNLIM.x.z</v>
      </c>
      <c r="C15" s="8" t="s">
        <v>109</v>
      </c>
      <c r="D15" s="6" t="s">
        <v>2</v>
      </c>
      <c r="E15" s="6" t="s">
        <v>2</v>
      </c>
      <c r="F15" s="6" t="s">
        <v>2</v>
      </c>
      <c r="G15" s="6" t="s">
        <v>2</v>
      </c>
      <c r="H15" s="6" t="s">
        <v>2</v>
      </c>
      <c r="I15" s="6" t="s">
        <v>2</v>
      </c>
      <c r="J15" s="6" t="s">
        <v>2</v>
      </c>
      <c r="K15" s="6" t="s">
        <v>2</v>
      </c>
      <c r="L15" s="6" t="s">
        <v>2</v>
      </c>
      <c r="M15" s="19"/>
    </row>
    <row r="16" spans="1:17" ht="6.75" customHeight="1" thickTop="1" x14ac:dyDescent="0.25">
      <c r="A16" s="19"/>
      <c r="B16" s="21"/>
      <c r="C16" s="19"/>
      <c r="D16" s="19"/>
      <c r="E16" s="19"/>
      <c r="F16" s="19"/>
      <c r="G16" s="19"/>
      <c r="H16" s="19"/>
      <c r="I16" s="19"/>
      <c r="J16" s="19"/>
      <c r="K16" s="19"/>
      <c r="L16" s="19"/>
      <c r="M16" s="19"/>
    </row>
    <row r="17" spans="1:17" ht="9.75" customHeight="1" x14ac:dyDescent="0.25">
      <c r="B17" s="13"/>
    </row>
    <row r="18" spans="1:17" ht="15.75" thickBot="1" x14ac:dyDescent="0.3">
      <c r="A18" s="19"/>
      <c r="B18" s="20" t="s">
        <v>134</v>
      </c>
      <c r="C18" s="19"/>
      <c r="D18" s="30" t="s">
        <v>43</v>
      </c>
      <c r="E18" s="30"/>
      <c r="F18" s="19"/>
      <c r="G18" s="19"/>
      <c r="H18" s="19"/>
      <c r="I18" s="19"/>
      <c r="J18" s="19"/>
      <c r="K18" s="19"/>
      <c r="L18" s="30" t="s">
        <v>86</v>
      </c>
      <c r="M18" s="19"/>
      <c r="O18" t="b">
        <v>0</v>
      </c>
      <c r="P18" s="37">
        <f>IF(O18,IF(Q18,1.6,1.35),IF(Q18,1.1,1))</f>
        <v>1</v>
      </c>
      <c r="Q18" t="b">
        <v>0</v>
      </c>
    </row>
    <row r="19" spans="1:17" ht="41.25" customHeight="1" thickTop="1" thickBot="1" x14ac:dyDescent="0.3">
      <c r="A19" s="19"/>
      <c r="B19" s="14" t="str">
        <f>IF($Q$18,IF($O$18,"DLVC.C.x.y.36M247","DLVC.C.x.y.12M247"),IF($O$18,"DLVC.C.x.y.36M","DLVC.C.x.y.z"))</f>
        <v>DLVC.C.x.y.z</v>
      </c>
      <c r="C19" s="7" t="s">
        <v>135</v>
      </c>
      <c r="D19" s="5">
        <f>$P$18*3500</f>
        <v>3500</v>
      </c>
      <c r="E19" s="5">
        <f>$P$18*3300</f>
        <v>3300</v>
      </c>
      <c r="F19" s="5">
        <f>$P$18*3100</f>
        <v>3100</v>
      </c>
      <c r="G19" s="5">
        <f>$P$18*2900</f>
        <v>2900</v>
      </c>
      <c r="H19" s="5">
        <f>$P$18*2750</f>
        <v>2750</v>
      </c>
      <c r="I19" s="5">
        <f>$P$18*2600</f>
        <v>2600</v>
      </c>
      <c r="J19" s="5">
        <f>$P$18*2500</f>
        <v>2500</v>
      </c>
      <c r="K19" s="54" t="s">
        <v>2</v>
      </c>
      <c r="L19" s="54" t="s">
        <v>2</v>
      </c>
      <c r="M19" s="19"/>
    </row>
    <row r="20" spans="1:17" ht="6.75" customHeight="1" thickTop="1" x14ac:dyDescent="0.25">
      <c r="A20" s="19"/>
      <c r="B20" s="21"/>
      <c r="C20" s="19"/>
      <c r="D20" s="19"/>
      <c r="E20" s="19"/>
      <c r="F20" s="19"/>
      <c r="G20" s="19"/>
      <c r="H20" s="19"/>
      <c r="I20" s="19"/>
      <c r="J20" s="19"/>
      <c r="K20" s="19"/>
      <c r="L20" s="19"/>
      <c r="M20" s="19"/>
    </row>
    <row r="22" spans="1:17" ht="15.75" thickBot="1" x14ac:dyDescent="0.3">
      <c r="A22" s="19"/>
      <c r="B22" s="20" t="s">
        <v>33</v>
      </c>
      <c r="C22" s="19"/>
      <c r="D22" s="19"/>
      <c r="E22" s="19"/>
      <c r="F22" s="19"/>
      <c r="G22" s="19"/>
      <c r="H22" s="19"/>
      <c r="I22" s="19"/>
      <c r="J22" s="19"/>
      <c r="K22" s="19"/>
      <c r="L22" s="19"/>
      <c r="M22" s="19"/>
    </row>
    <row r="23" spans="1:17" ht="24" thickTop="1" thickBot="1" x14ac:dyDescent="0.3">
      <c r="A23" s="19"/>
      <c r="B23" s="27" t="s">
        <v>5</v>
      </c>
      <c r="C23" s="8" t="s">
        <v>50</v>
      </c>
      <c r="D23" s="91"/>
      <c r="E23" s="92"/>
      <c r="F23" s="92"/>
      <c r="G23" s="92"/>
      <c r="H23" s="92">
        <v>500</v>
      </c>
      <c r="I23" s="92"/>
      <c r="J23" s="92"/>
      <c r="K23" s="92"/>
      <c r="L23" s="93"/>
      <c r="M23" s="19"/>
    </row>
    <row r="24" spans="1:17" ht="24" thickTop="1" thickBot="1" x14ac:dyDescent="0.3">
      <c r="A24" s="19"/>
      <c r="B24" s="34" t="s">
        <v>6</v>
      </c>
      <c r="C24" s="52" t="s">
        <v>49</v>
      </c>
      <c r="D24" s="94"/>
      <c r="E24" s="95"/>
      <c r="F24" s="95"/>
      <c r="G24" s="95"/>
      <c r="H24" s="95">
        <v>500</v>
      </c>
      <c r="I24" s="95"/>
      <c r="J24" s="95"/>
      <c r="K24" s="95"/>
      <c r="L24" s="96"/>
      <c r="M24" s="19"/>
    </row>
    <row r="25" spans="1:17" ht="24" thickTop="1" thickBot="1" x14ac:dyDescent="0.3">
      <c r="A25" s="19"/>
      <c r="B25" s="33" t="s">
        <v>8</v>
      </c>
      <c r="C25" s="51" t="s">
        <v>201</v>
      </c>
      <c r="D25" s="112">
        <v>500</v>
      </c>
      <c r="E25" s="113"/>
      <c r="F25" s="113"/>
      <c r="G25" s="113"/>
      <c r="H25" s="113"/>
      <c r="I25" s="113"/>
      <c r="J25" s="113"/>
      <c r="K25" s="113"/>
      <c r="L25" s="114"/>
      <c r="M25" s="19"/>
    </row>
    <row r="26" spans="1:17" ht="15.75" thickTop="1" x14ac:dyDescent="0.25">
      <c r="A26" s="20"/>
      <c r="B26" s="19"/>
      <c r="C26" s="19"/>
      <c r="D26" s="19"/>
      <c r="E26" s="19"/>
      <c r="F26" s="19"/>
      <c r="G26" s="19"/>
      <c r="H26" s="19"/>
      <c r="I26" s="19"/>
      <c r="J26" s="19"/>
      <c r="K26" s="19"/>
      <c r="L26" s="19"/>
      <c r="M26" s="19"/>
    </row>
    <row r="28" spans="1:17" x14ac:dyDescent="0.25">
      <c r="M28" s="4"/>
    </row>
    <row r="31" spans="1:17" x14ac:dyDescent="0.25">
      <c r="A31" s="18" t="s">
        <v>42</v>
      </c>
      <c r="B31" s="17"/>
      <c r="C31" s="17"/>
      <c r="D31" s="17"/>
      <c r="E31" s="17"/>
      <c r="F31" s="17"/>
      <c r="G31" s="17"/>
      <c r="H31" s="17"/>
      <c r="I31" s="17"/>
      <c r="J31" s="17"/>
      <c r="K31" s="17"/>
      <c r="L31" s="17"/>
      <c r="M31" s="17"/>
    </row>
    <row r="32" spans="1:17" x14ac:dyDescent="0.25">
      <c r="M32" s="4"/>
    </row>
    <row r="33" spans="13:13" x14ac:dyDescent="0.25">
      <c r="M33" s="4"/>
    </row>
    <row r="34" spans="13:13" x14ac:dyDescent="0.25">
      <c r="M34" s="4"/>
    </row>
    <row r="50" spans="1:15" s="11" customFormat="1" x14ac:dyDescent="0.25">
      <c r="A50"/>
      <c r="B50"/>
      <c r="C50"/>
      <c r="D50"/>
      <c r="E50"/>
      <c r="F50"/>
      <c r="G50"/>
      <c r="H50"/>
      <c r="I50"/>
      <c r="J50"/>
      <c r="K50"/>
      <c r="L50"/>
      <c r="M50"/>
      <c r="N50"/>
      <c r="O50"/>
    </row>
    <row r="51" spans="1:15" s="11" customFormat="1" x14ac:dyDescent="0.25">
      <c r="A51"/>
      <c r="B51"/>
      <c r="C51"/>
      <c r="D51"/>
      <c r="E51"/>
      <c r="F51"/>
      <c r="G51"/>
      <c r="H51"/>
      <c r="I51"/>
      <c r="J51"/>
      <c r="K51"/>
      <c r="L51"/>
      <c r="M51"/>
      <c r="N51"/>
      <c r="O51"/>
    </row>
  </sheetData>
  <mergeCells count="4">
    <mergeCell ref="B4:B5"/>
    <mergeCell ref="C4:C5"/>
    <mergeCell ref="D4:L4"/>
    <mergeCell ref="D25:L25"/>
  </mergeCells>
  <conditionalFormatting sqref="A8:A15 M8:M15">
    <cfRule type="expression" dxfId="13" priority="9">
      <formula>$P$7&lt;&gt;1</formula>
    </cfRule>
  </conditionalFormatting>
  <conditionalFormatting sqref="A7:M7 A16:M16">
    <cfRule type="expression" dxfId="12" priority="15">
      <formula>$P$7&lt;&gt;1</formula>
    </cfRule>
  </conditionalFormatting>
  <conditionalFormatting sqref="A18:M18 M19 A19">
    <cfRule type="expression" dxfId="11" priority="7">
      <formula>$P$18&gt;1</formula>
    </cfRule>
  </conditionalFormatting>
  <conditionalFormatting sqref="M25">
    <cfRule type="expression" dxfId="10" priority="6">
      <formula>$P$18&gt;1</formula>
    </cfRule>
  </conditionalFormatting>
  <conditionalFormatting sqref="A25">
    <cfRule type="expression" dxfId="9" priority="3">
      <formula>$P$18&gt;1</formula>
    </cfRule>
  </conditionalFormatting>
  <conditionalFormatting sqref="M22:M24">
    <cfRule type="expression" dxfId="8" priority="5">
      <formula>$P$18&gt;1</formula>
    </cfRule>
  </conditionalFormatting>
  <conditionalFormatting sqref="A22:A24">
    <cfRule type="expression" dxfId="7" priority="4">
      <formula>$P$18&gt;1</formula>
    </cfRule>
  </conditionalFormatting>
  <conditionalFormatting sqref="L26">
    <cfRule type="expression" dxfId="6" priority="2">
      <formula>$P$18&gt;1</formula>
    </cfRule>
  </conditionalFormatting>
  <conditionalFormatting sqref="M26">
    <cfRule type="expression" dxfId="5" priority="1">
      <formula>$P$18&gt;1</formula>
    </cfRule>
  </conditionalFormatting>
  <pageMargins left="0.59055118110236227" right="0.39370078740157483" top="0.23622047244094491" bottom="0.23622047244094491" header="0.31496062992125984" footer="0.31496062992125984"/>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xdr:col>
                    <xdr:colOff>3752850</xdr:colOff>
                    <xdr:row>5</xdr:row>
                    <xdr:rowOff>85725</xdr:rowOff>
                  </from>
                  <to>
                    <xdr:col>3</xdr:col>
                    <xdr:colOff>0</xdr:colOff>
                    <xdr:row>7</xdr:row>
                    <xdr:rowOff>19050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10</xdr:col>
                    <xdr:colOff>533400</xdr:colOff>
                    <xdr:row>5</xdr:row>
                    <xdr:rowOff>95250</xdr:rowOff>
                  </from>
                  <to>
                    <xdr:col>11</xdr:col>
                    <xdr:colOff>76200</xdr:colOff>
                    <xdr:row>7</xdr:row>
                    <xdr:rowOff>9525</xdr:rowOff>
                  </to>
                </anchor>
              </controlPr>
            </control>
          </mc:Choice>
        </mc:AlternateContent>
        <mc:AlternateContent xmlns:mc="http://schemas.openxmlformats.org/markup-compatibility/2006">
          <mc:Choice Requires="x14">
            <control shapeId="26629" r:id="rId6" name="Check Box 5">
              <controlPr defaultSize="0" autoFill="0" autoLine="0" autoPict="0">
                <anchor moveWithCells="1">
                  <from>
                    <xdr:col>2</xdr:col>
                    <xdr:colOff>3752850</xdr:colOff>
                    <xdr:row>16</xdr:row>
                    <xdr:rowOff>85725</xdr:rowOff>
                  </from>
                  <to>
                    <xdr:col>3</xdr:col>
                    <xdr:colOff>0</xdr:colOff>
                    <xdr:row>18</xdr:row>
                    <xdr:rowOff>19050</xdr:rowOff>
                  </to>
                </anchor>
              </controlPr>
            </control>
          </mc:Choice>
        </mc:AlternateContent>
        <mc:AlternateContent xmlns:mc="http://schemas.openxmlformats.org/markup-compatibility/2006">
          <mc:Choice Requires="x14">
            <control shapeId="26630" r:id="rId7" name="Check Box 6">
              <controlPr defaultSize="0" autoFill="0" autoLine="0" autoPict="0">
                <anchor moveWithCells="1">
                  <from>
                    <xdr:col>10</xdr:col>
                    <xdr:colOff>533400</xdr:colOff>
                    <xdr:row>16</xdr:row>
                    <xdr:rowOff>95250</xdr:rowOff>
                  </from>
                  <to>
                    <xdr:col>11</xdr:col>
                    <xdr:colOff>76200</xdr:colOff>
                    <xdr:row>18</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M48"/>
  <sheetViews>
    <sheetView showGridLines="0" showRowColHeaders="0" topLeftCell="A2" zoomScaleNormal="100" workbookViewId="0"/>
  </sheetViews>
  <sheetFormatPr defaultColWidth="9.140625" defaultRowHeight="15" x14ac:dyDescent="0.25"/>
  <cols>
    <col min="1" max="1" width="1.28515625" customWidth="1"/>
    <col min="2" max="2" width="30.140625" customWidth="1"/>
    <col min="3" max="3" width="60.5703125" customWidth="1"/>
    <col min="4" max="6" width="30.5703125" customWidth="1"/>
    <col min="7" max="7" width="1.7109375" customWidth="1"/>
    <col min="8" max="8" width="0" hidden="1" customWidth="1"/>
    <col min="9" max="9" width="9.140625" hidden="1" customWidth="1"/>
    <col min="10" max="12" width="7.42578125" hidden="1" customWidth="1"/>
    <col min="13" max="13" width="0" hidden="1" customWidth="1"/>
  </cols>
  <sheetData>
    <row r="2" spans="1:13" ht="85.5" customHeight="1" x14ac:dyDescent="0.25"/>
    <row r="3" spans="1:13" ht="29.25" thickBot="1" x14ac:dyDescent="0.5">
      <c r="B3" s="35" t="s">
        <v>155</v>
      </c>
      <c r="C3" s="35"/>
      <c r="D3" s="35"/>
      <c r="E3" s="81" t="s">
        <v>72</v>
      </c>
      <c r="F3" s="35"/>
    </row>
    <row r="4" spans="1:13" ht="26.25" customHeight="1" thickTop="1" thickBot="1" x14ac:dyDescent="0.3">
      <c r="B4" s="106" t="s">
        <v>3</v>
      </c>
      <c r="C4" s="108" t="s">
        <v>0</v>
      </c>
      <c r="D4" s="110" t="s">
        <v>158</v>
      </c>
      <c r="E4" s="110"/>
      <c r="F4" s="111"/>
    </row>
    <row r="5" spans="1:13" ht="21.75" customHeight="1" thickTop="1" thickBot="1" x14ac:dyDescent="0.3">
      <c r="B5" s="107"/>
      <c r="C5" s="109"/>
      <c r="D5" s="1" t="s">
        <v>150</v>
      </c>
      <c r="E5" s="1" t="s">
        <v>151</v>
      </c>
      <c r="F5" s="3" t="s">
        <v>153</v>
      </c>
    </row>
    <row r="6" spans="1:13" ht="9.75" customHeight="1" thickTop="1" x14ac:dyDescent="0.25">
      <c r="B6" s="13"/>
    </row>
    <row r="7" spans="1:13" ht="15.75" thickBot="1" x14ac:dyDescent="0.3">
      <c r="A7" s="19"/>
      <c r="B7" s="20" t="s">
        <v>164</v>
      </c>
      <c r="C7" s="19"/>
      <c r="D7" s="30" t="s">
        <v>157</v>
      </c>
      <c r="E7" s="30"/>
      <c r="F7" s="30" t="s">
        <v>156</v>
      </c>
      <c r="G7" s="19"/>
      <c r="I7" t="b">
        <v>0</v>
      </c>
      <c r="J7" s="37">
        <f>IF(I7,IF(K7,L7*L8,L7),IF(K7,L8,1))</f>
        <v>1</v>
      </c>
      <c r="K7" t="b">
        <v>0</v>
      </c>
      <c r="L7" s="71">
        <f>3*0.75</f>
        <v>2.25</v>
      </c>
    </row>
    <row r="8" spans="1:13" ht="41.25" customHeight="1" thickTop="1" thickBot="1" x14ac:dyDescent="0.3">
      <c r="A8" s="19"/>
      <c r="B8" s="14" t="str">
        <f>IF($K$7,IF($I$7,$M8&amp;"3Y247",$M8&amp;"1Y247"),IF($I$7,$M8&amp;"3Y",$M8&amp;"y"))</f>
        <v>DLW.S.WAF.x.y</v>
      </c>
      <c r="C8" s="7" t="str">
        <f>IF($K$7,IF($I$7,"Право на использование*** Шлюза безопасности WAF Dallas Lock. Базовая комплектация. Срочная лицензия на 3 года. Сопровождение 24/7.","Право на использование*** Шлюза безопасности WAF Dallas Lock. Базовая комплектация. Срочная лицензия на 1 год. Сопровождение 24/7."),IF($I$7,"Право на использование*** Шлюза безопасности WAF Dallas Lock. Базовая комплектация. Срочная лицензия на 3 года.","Право на использование*** Шлюза безопасности WAF Dallas Lock. Базовая комплектация. Срочная лицензия на 1 год."))</f>
        <v>Право на использование*** Шлюза безопасности WAF Dallas Lock. Базовая комплектация. Срочная лицензия на 1 год.</v>
      </c>
      <c r="D8" s="5">
        <f>$J$7*$I$8</f>
        <v>850000</v>
      </c>
      <c r="E8" s="5">
        <f>$J$7*$I8*$J8</f>
        <v>1100000</v>
      </c>
      <c r="F8" s="5">
        <f>$J$7*$I8*$K8</f>
        <v>1450000</v>
      </c>
      <c r="G8" s="19"/>
      <c r="I8" s="69">
        <v>850000</v>
      </c>
      <c r="J8" s="70">
        <v>1.2941176470588236</v>
      </c>
      <c r="K8" s="70">
        <v>1.7058823529411764</v>
      </c>
      <c r="L8" s="71">
        <v>1.1000000000000001</v>
      </c>
      <c r="M8" t="s">
        <v>170</v>
      </c>
    </row>
    <row r="9" spans="1:13" ht="41.25" customHeight="1" thickTop="1" thickBot="1" x14ac:dyDescent="0.3">
      <c r="A9" s="19"/>
      <c r="B9" s="27" t="str">
        <f>IF($K$7,IF($I$7,$M9&amp;"3Y247",$M9&amp;"1Y247"),IF($I$7,$M9&amp;"3Y",$M9&amp;"y"))</f>
        <v>DLW.S.WAF-UTM.x.y</v>
      </c>
      <c r="C9" s="8" t="str">
        <f>IF($K$7,IF($I$7,"Право на использование*** Шлюза безопасности WAF Dallas Lock. Расширенная комплектация с МЭ/СОВ. Срочная лицензия на 3 года. Сопровождение 24/7.","Право на использование*** Шлюза безопасности WAF Dallas Lock. Расширенная комплектация с МЭ/СОВ. Срочная лицензия на 1 год. Сопровождение 24/7."),IF($I$7,"Право на использование*** Шлюза безопасности WAF Dallas Lock. Расширенная комплектация с МЭ/СОВ. Срочная лицензия на 3 года.","Право на использование*** Шлюза безопасности WAF Dallas Lock. Расширенная комплектация с МЭ/СОВ. Срочная лицензия на 1 год."))</f>
        <v>Право на использование*** Шлюза безопасности WAF Dallas Lock. Расширенная комплектация с МЭ/СОВ. Срочная лицензия на 1 год.</v>
      </c>
      <c r="D9" s="6">
        <f>$J$7*$I$9</f>
        <v>980000</v>
      </c>
      <c r="E9" s="6">
        <f t="shared" ref="E9" si="0">$J$7*$I9*$J9</f>
        <v>1270000</v>
      </c>
      <c r="F9" s="6">
        <f t="shared" ref="F9" si="1">$J$7*$I9*$K9</f>
        <v>1660000</v>
      </c>
      <c r="G9" s="19"/>
      <c r="I9" s="69">
        <v>980000</v>
      </c>
      <c r="J9" s="70">
        <f>1270/980</f>
        <v>1.2959183673469388</v>
      </c>
      <c r="K9" s="70">
        <f>1660/980</f>
        <v>1.6938775510204083</v>
      </c>
      <c r="M9" t="s">
        <v>171</v>
      </c>
    </row>
    <row r="10" spans="1:13" ht="41.25" customHeight="1" thickTop="1" thickBot="1" x14ac:dyDescent="0.3">
      <c r="A10" s="19"/>
      <c r="B10" s="27" t="str">
        <f>IF($K$7,IF($I$7,$M10&amp;"3Y247",$M10&amp;"1Y247"),IF($I$7,$M10&amp;"3Y",$M10&amp;"y"))</f>
        <v>DLW.S.WAF-UTM.CLA.x.y</v>
      </c>
      <c r="C10" s="8" t="str">
        <f>IF($K$7,IF($I$7,"Право на использование*** Шлюза безопасности WAF Dallas Lock. Расширенная комплектация с МЭ/СОВ для построения отказоустойчивого кластера, активный узел. Срочная лицензия на 3 года. Сопровождение 24/7.","Право на использование*** Шлюза безопасности WAF Dallas Lock. Расширенная комплектация с МЭ/СОВ для построения отказоустойчивого кластера, активный узел. Срочная лицензия на 1 год. Сопровождение 24/7."),IF($I$7,"Право на использование*** Шлюза безопасности WAF Dallas Lock. Расширенная комплектация с МЭ/СОВ для построения отказоустойчивого кластера, активный узел. Срочная лицензия на 3 года.","Право на использование*** Шлюза безопасности WAF Dallas Lock. Расширенная комплектация с МЭ/СОВ для построения отказоустойчивого кластера, активный узел. Срочная лицензия на 1 год."))</f>
        <v>Право на использование*** Шлюза безопасности WAF Dallas Lock. Расширенная комплектация с МЭ/СОВ для построения отказоустойчивого кластера, активный узел. Срочная лицензия на 1 год.</v>
      </c>
      <c r="D10" s="6">
        <f>$J$7*$I$11</f>
        <v>1100000</v>
      </c>
      <c r="E10" s="6">
        <f>$J$7*$I11*$J11</f>
        <v>1430000</v>
      </c>
      <c r="F10" s="6">
        <f>$J$7*$I11*$K11</f>
        <v>1870000</v>
      </c>
      <c r="G10" s="19"/>
      <c r="I10" s="69">
        <v>150000</v>
      </c>
      <c r="J10" s="70">
        <v>1.2666666666666666</v>
      </c>
      <c r="K10" s="70">
        <v>1.6666666666666667</v>
      </c>
      <c r="M10" t="s">
        <v>172</v>
      </c>
    </row>
    <row r="11" spans="1:13" ht="41.25" customHeight="1" thickTop="1" thickBot="1" x14ac:dyDescent="0.3">
      <c r="A11" s="19"/>
      <c r="B11" s="14" t="str">
        <f>IF($K$7,IF($I$7,$M11&amp;"3Y247",$M11&amp;"1Y247"),IF($I$7,$M11&amp;"3Y",$M11&amp;"y"))</f>
        <v>DLW.S.WAF-UTM.CLP.x.y</v>
      </c>
      <c r="C11" s="7" t="str">
        <f>IF($K$7,IF($I$7,"Право на использование*** Шлюза безопасности WAF Dallas Lock. Расширенная комплектация с МЭ/СОВ для построения отказоустойчивого кластера, резервный узел. Срочная лицензия на 3 года. Сопровождение 24/7.","Право на использование*** Шлюза безопасности WAF Dallas Lock. Расширенная комплектация с МЭ/СОВ для построения отказоустойчивого кластера, резервный узел. Срочная лицензия на 1 год. Сопровождение 24/7."),IF($I$7,"Право на использование*** Шлюза безопасности WAF Dallas Lock. Расширенная комплектация с МЭ/СОВ для построения отказоустойчивого кластера, резервный узел. Срочная лицензия на 3 года.","Право на использование*** Шлюза безопасности WAF Dallas Lock. Расширенная комплектация с МЭ/СОВ для построения отказоустойчивого кластера, резервный узел. Срочная лицензия на 1 год."))</f>
        <v>Право на использование*** Шлюза безопасности WAF Dallas Lock. Расширенная комплектация с МЭ/СОВ для построения отказоустойчивого кластера, резервный узел. Срочная лицензия на 1 год.</v>
      </c>
      <c r="D11" s="5">
        <f>$J$7*I12</f>
        <v>780000</v>
      </c>
      <c r="E11" s="5">
        <f>$J$7*$I12*$J12</f>
        <v>1020000</v>
      </c>
      <c r="F11" s="5">
        <f>$J$7*$I12*$K12</f>
        <v>1330000</v>
      </c>
      <c r="G11" s="19"/>
      <c r="I11" s="69">
        <v>1100000</v>
      </c>
      <c r="J11" s="70">
        <v>1.3</v>
      </c>
      <c r="K11" s="70">
        <v>1.7</v>
      </c>
      <c r="M11" t="s">
        <v>174</v>
      </c>
    </row>
    <row r="12" spans="1:13" ht="41.25" customHeight="1" thickTop="1" thickBot="1" x14ac:dyDescent="0.3">
      <c r="A12" s="19"/>
      <c r="B12" s="27" t="str">
        <f>IF($K$7,IF($I$7,$M12&amp;"3Y247",$M12&amp;"1Y247"),IF($I$7,$M12&amp;"3Y",$M12&amp;"y"))</f>
        <v>DLW.S.UTM.x.y</v>
      </c>
      <c r="C12" s="8" t="str">
        <f>IF($K$7,IF($I$7,"Право на использование*** Шлюза безопасности WAF Dallas Lock. Ограниченная комплектация только МЭ/СОВ. Срочная лицензия на 3 года. Сопровождение 24/7.","Право на использование*** Шлюза безопасности WAF Dallas Lock. Ограниченная комплектация только МЭ/СОВ. Срочная лицензия на 1 год. Сопровождение 24/7."),IF($I$7,"Право на использование*** Шлюза безопасности WAF Dallas Lock. Ограниченная комплектация только МЭ/СОВ. Срочная лицензия на 3 года.","Право на использование*** Шлюза безопасности WAF Dallas Lock. Ограниченная комплектация только МЭ/СОВ. Срочная лицензия на 1 год."))</f>
        <v>Право на использование*** Шлюза безопасности WAF Dallas Lock. Ограниченная комплектация только МЭ/СОВ. Срочная лицензия на 1 год.</v>
      </c>
      <c r="D12" s="5" t="s">
        <v>2</v>
      </c>
      <c r="E12" s="5" t="s">
        <v>2</v>
      </c>
      <c r="F12" s="5" t="s">
        <v>2</v>
      </c>
      <c r="G12" s="19"/>
      <c r="I12" s="69">
        <v>780000</v>
      </c>
      <c r="J12" s="70">
        <v>1.3076923076923077</v>
      </c>
      <c r="K12" s="70">
        <v>1.7051282051282051</v>
      </c>
      <c r="M12" t="s">
        <v>173</v>
      </c>
    </row>
    <row r="13" spans="1:13" ht="6.75" customHeight="1" thickTop="1" x14ac:dyDescent="0.25">
      <c r="A13" s="19"/>
      <c r="B13" s="21"/>
      <c r="C13" s="19"/>
      <c r="D13" s="19"/>
      <c r="E13" s="19"/>
      <c r="F13" s="19"/>
      <c r="G13" s="19"/>
    </row>
    <row r="15" spans="1:13" ht="15.75" thickBot="1" x14ac:dyDescent="0.3">
      <c r="A15" s="19"/>
      <c r="B15" s="20" t="s">
        <v>33</v>
      </c>
      <c r="C15" s="19"/>
      <c r="D15" s="19"/>
      <c r="E15" s="19"/>
      <c r="F15" s="19"/>
      <c r="G15" s="19"/>
    </row>
    <row r="16" spans="1:13" ht="41.25" customHeight="1" thickTop="1" thickBot="1" x14ac:dyDescent="0.3">
      <c r="A16" s="19"/>
      <c r="B16" s="14" t="s">
        <v>152</v>
      </c>
      <c r="C16" s="7" t="s">
        <v>161</v>
      </c>
      <c r="D16" s="123">
        <v>1000</v>
      </c>
      <c r="E16" s="124"/>
      <c r="F16" s="125"/>
      <c r="G16" s="19"/>
    </row>
    <row r="17" spans="1:7" ht="6.75" customHeight="1" thickTop="1" x14ac:dyDescent="0.25">
      <c r="A17" s="19"/>
      <c r="B17" s="21"/>
      <c r="C17" s="19"/>
      <c r="D17" s="19"/>
      <c r="E17" s="19"/>
      <c r="F17" s="19"/>
      <c r="G17" s="19"/>
    </row>
    <row r="18" spans="1:7" ht="9.75" customHeight="1" x14ac:dyDescent="0.25">
      <c r="B18" s="13"/>
    </row>
    <row r="19" spans="1:7" ht="17.25" customHeight="1" thickBot="1" x14ac:dyDescent="0.3">
      <c r="A19" s="20"/>
      <c r="B19" s="20" t="s">
        <v>165</v>
      </c>
      <c r="C19" s="20"/>
      <c r="D19" s="20"/>
      <c r="E19" s="20"/>
      <c r="F19" s="20"/>
      <c r="G19" s="19"/>
    </row>
    <row r="20" spans="1:7" ht="41.25" customHeight="1" thickTop="1" thickBot="1" x14ac:dyDescent="0.3">
      <c r="A20" s="20"/>
      <c r="B20" s="14" t="s">
        <v>166</v>
      </c>
      <c r="C20" s="7" t="s">
        <v>163</v>
      </c>
      <c r="D20" s="133" t="s">
        <v>154</v>
      </c>
      <c r="E20" s="134"/>
      <c r="F20" s="135"/>
      <c r="G20" s="19"/>
    </row>
    <row r="21" spans="1:7" ht="6.75" customHeight="1" thickTop="1" x14ac:dyDescent="0.25">
      <c r="A21" s="19"/>
      <c r="B21" s="21"/>
      <c r="C21" s="19"/>
      <c r="D21" s="19"/>
      <c r="E21" s="19"/>
      <c r="F21" s="19"/>
      <c r="G21" s="19"/>
    </row>
    <row r="22" spans="1:7" ht="9.75" customHeight="1" x14ac:dyDescent="0.25">
      <c r="B22" s="13"/>
    </row>
    <row r="23" spans="1:7" ht="9.75" customHeight="1" x14ac:dyDescent="0.25">
      <c r="B23" s="13"/>
    </row>
    <row r="24" spans="1:7" x14ac:dyDescent="0.25">
      <c r="A24" s="17"/>
      <c r="B24" s="18" t="s">
        <v>42</v>
      </c>
      <c r="C24" s="17"/>
      <c r="D24" s="17"/>
      <c r="E24" s="17"/>
      <c r="F24" s="17"/>
      <c r="G24" s="17"/>
    </row>
    <row r="25" spans="1:7" x14ac:dyDescent="0.25">
      <c r="G25" s="4"/>
    </row>
    <row r="26" spans="1:7" x14ac:dyDescent="0.25">
      <c r="G26" s="4"/>
    </row>
    <row r="27" spans="1:7" x14ac:dyDescent="0.25">
      <c r="G27" s="4"/>
    </row>
    <row r="28" spans="1:7" x14ac:dyDescent="0.25">
      <c r="G28" s="4"/>
    </row>
    <row r="29" spans="1:7" x14ac:dyDescent="0.25">
      <c r="G29" s="4"/>
    </row>
    <row r="30" spans="1:7" x14ac:dyDescent="0.25">
      <c r="G30" s="4"/>
    </row>
    <row r="31" spans="1:7" x14ac:dyDescent="0.25">
      <c r="G31" s="4"/>
    </row>
    <row r="32" spans="1:7" x14ac:dyDescent="0.25">
      <c r="G32" s="4"/>
    </row>
    <row r="33" spans="2:7" x14ac:dyDescent="0.25">
      <c r="G33" s="4"/>
    </row>
    <row r="34" spans="2:7" x14ac:dyDescent="0.25">
      <c r="G34" s="4"/>
    </row>
    <row r="35" spans="2:7" x14ac:dyDescent="0.25">
      <c r="G35" s="4"/>
    </row>
    <row r="36" spans="2:7" x14ac:dyDescent="0.25">
      <c r="G36" s="4"/>
    </row>
    <row r="37" spans="2:7" x14ac:dyDescent="0.25">
      <c r="G37" s="4"/>
    </row>
    <row r="38" spans="2:7" x14ac:dyDescent="0.25">
      <c r="G38" s="4"/>
    </row>
    <row r="39" spans="2:7" x14ac:dyDescent="0.25">
      <c r="G39" s="4"/>
    </row>
    <row r="40" spans="2:7" x14ac:dyDescent="0.25">
      <c r="G40" s="4"/>
    </row>
    <row r="45" spans="2:7" x14ac:dyDescent="0.25">
      <c r="B45" s="68" t="s">
        <v>175</v>
      </c>
    </row>
    <row r="46" spans="2:7" x14ac:dyDescent="0.25">
      <c r="B46" t="s">
        <v>159</v>
      </c>
    </row>
    <row r="47" spans="2:7" x14ac:dyDescent="0.25">
      <c r="B47" s="68" t="s">
        <v>160</v>
      </c>
    </row>
    <row r="48" spans="2:7" x14ac:dyDescent="0.25">
      <c r="B48" s="68" t="s">
        <v>162</v>
      </c>
    </row>
  </sheetData>
  <mergeCells count="5">
    <mergeCell ref="D16:F16"/>
    <mergeCell ref="D20:F20"/>
    <mergeCell ref="B4:B5"/>
    <mergeCell ref="C4:C5"/>
    <mergeCell ref="D4:F4"/>
  </mergeCells>
  <conditionalFormatting sqref="A7:G7 A8:A12 G8:G12 A13:G13">
    <cfRule type="expression" dxfId="4" priority="9">
      <formula>$J$7&lt;&gt;1</formula>
    </cfRule>
  </conditionalFormatting>
  <conditionalFormatting sqref="B19:F19 A19:A20">
    <cfRule type="expression" dxfId="3" priority="5">
      <formula>#REF!&lt;&gt;1</formula>
    </cfRule>
  </conditionalFormatting>
  <pageMargins left="0.59055118110236227" right="0.39370078740157483" top="0.23622047244094491" bottom="0.23622047244094491" header="0.31496062992125984" footer="0.31496062992125984"/>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3752850</xdr:colOff>
                    <xdr:row>5</xdr:row>
                    <xdr:rowOff>85725</xdr:rowOff>
                  </from>
                  <to>
                    <xdr:col>2</xdr:col>
                    <xdr:colOff>3962400</xdr:colOff>
                    <xdr:row>7</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5</xdr:col>
                    <xdr:colOff>0</xdr:colOff>
                    <xdr:row>5</xdr:row>
                    <xdr:rowOff>95250</xdr:rowOff>
                  </from>
                  <to>
                    <xdr:col>5</xdr:col>
                    <xdr:colOff>266700</xdr:colOff>
                    <xdr:row>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Линейка Dallas Lock</vt:lpstr>
      <vt:lpstr>СЗИ ВИ Dallas Lock</vt:lpstr>
      <vt:lpstr>СДЗ Dallas Lock</vt:lpstr>
      <vt:lpstr>Dallas Lock Linux</vt:lpstr>
      <vt:lpstr>Пакетное предложение для ОС</vt:lpstr>
      <vt:lpstr>Dallas Lock 8.0-К</vt:lpstr>
      <vt:lpstr>Dallas Lock 8.0-С</vt:lpstr>
      <vt:lpstr>ЕЦУ Dallas Lock</vt:lpstr>
      <vt:lpstr>WAF Dallas Lock</vt:lpstr>
      <vt:lpstr>Архивные продукты</vt:lpstr>
      <vt:lpstr>Сервер Лицензий Dallas Lock</vt:lpstr>
      <vt:lpstr>Услуги по установке...</vt:lpstr>
      <vt:lpstr>Описание продуктов</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2019-07-04T07:31:49Z</dcterms:created>
  <dcterms:modified xsi:type="dcterms:W3CDTF">2025-04-25T15:07:33Z</dcterms:modified>
</cp:coreProperties>
</file>